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aed01.ressources.paris.mdp\dae\SDEDEL\SESCIP\BESC\Economie Circulaire\FILIERES\2_Consigne\Prestation AS Colin pour FSF MA et MG\"/>
    </mc:Choice>
  </mc:AlternateContent>
  <bookViews>
    <workbookView xWindow="0" yWindow="0" windowWidth="25200" windowHeight="11850" activeTab="6"/>
  </bookViews>
  <sheets>
    <sheet name="Mode d'emploi" sheetId="2" r:id="rId1"/>
    <sheet name="Contenants" sheetId="4" r:id="rId2"/>
    <sheet name="Caisses et meubles" sheetId="8" r:id="rId3"/>
    <sheet name="Gestion traça" sheetId="9" r:id="rId4"/>
    <sheet name="Collecte" sheetId="5" r:id="rId5"/>
    <sheet name="Lavage" sheetId="3" r:id="rId6"/>
    <sheet name="Synthèse" sheetId="7" r:id="rId7"/>
  </sheets>
  <definedNames>
    <definedName name="_xlnm.Print_Area" localSheetId="2">'Caisses et meubles'!$B$2:$K$72</definedName>
    <definedName name="_xlnm.Print_Area" localSheetId="4">Collecte!$B$2:$K$51</definedName>
    <definedName name="_xlnm.Print_Area" localSheetId="1">Contenants!$B$2:$K$75</definedName>
    <definedName name="_xlnm.Print_Area" localSheetId="3">'Gestion traça'!$B$2:$K$24</definedName>
    <definedName name="_xlnm.Print_Area" localSheetId="5">Lavage!$B$3:$M$106</definedName>
    <definedName name="_xlnm.Print_Area" localSheetId="0">'Mode d''emploi'!$B$2:$P$34</definedName>
    <definedName name="_xlnm.Print_Area" localSheetId="6">Synthèse!$B$2:$K$48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8" i="7" l="1"/>
  <c r="H44" i="3"/>
  <c r="I44" i="3"/>
  <c r="G44" i="3"/>
  <c r="I15" i="7"/>
  <c r="J15" i="7" s="1"/>
  <c r="I23" i="7"/>
  <c r="G15" i="7"/>
  <c r="H15" i="7" s="1"/>
  <c r="I14" i="7"/>
  <c r="J14" i="7" s="1"/>
  <c r="G14" i="7"/>
  <c r="H14" i="7" s="1"/>
  <c r="C15" i="7"/>
  <c r="C14" i="7"/>
  <c r="H22" i="9"/>
  <c r="I18" i="7" s="1"/>
  <c r="J18" i="7" s="1"/>
  <c r="H69" i="8"/>
  <c r="G69" i="8"/>
  <c r="G64" i="8"/>
  <c r="G77" i="8"/>
  <c r="H77" i="8"/>
  <c r="I77" i="8"/>
  <c r="G78" i="8"/>
  <c r="H78" i="8"/>
  <c r="I78" i="8"/>
  <c r="G82" i="8"/>
  <c r="H82" i="8"/>
  <c r="I82" i="8"/>
  <c r="G83" i="8"/>
  <c r="H83" i="8"/>
  <c r="I83" i="8"/>
  <c r="G84" i="8"/>
  <c r="H84" i="8"/>
  <c r="I84" i="8"/>
  <c r="G86" i="8"/>
  <c r="H86" i="8"/>
  <c r="I86" i="8"/>
  <c r="G87" i="8"/>
  <c r="H87" i="8"/>
  <c r="I87" i="8"/>
  <c r="G88" i="8"/>
  <c r="H88" i="8"/>
  <c r="I88" i="8"/>
  <c r="G89" i="8"/>
  <c r="H89" i="8"/>
  <c r="I89" i="8"/>
  <c r="G90" i="8"/>
  <c r="H90" i="8"/>
  <c r="I90" i="8"/>
  <c r="G91" i="8"/>
  <c r="H91" i="8"/>
  <c r="I91" i="8"/>
  <c r="G92" i="8"/>
  <c r="H92" i="8"/>
  <c r="I92" i="8"/>
  <c r="G93" i="8"/>
  <c r="H93" i="8"/>
  <c r="I93" i="8"/>
  <c r="H76" i="8"/>
  <c r="I76" i="8"/>
  <c r="G76" i="8"/>
  <c r="J24" i="4"/>
  <c r="J14" i="4"/>
  <c r="H19" i="4"/>
  <c r="H21" i="4" s="1"/>
  <c r="I19" i="4"/>
  <c r="I21" i="4" s="1"/>
  <c r="G19" i="4"/>
  <c r="I30" i="7"/>
  <c r="J30" i="7" s="1"/>
  <c r="C24" i="7"/>
  <c r="C23" i="7"/>
  <c r="C22" i="7"/>
  <c r="D86" i="3"/>
  <c r="G35" i="3"/>
  <c r="G91" i="3" s="1"/>
  <c r="I45" i="3"/>
  <c r="H39" i="3"/>
  <c r="I39" i="3"/>
  <c r="G39" i="3"/>
  <c r="G37" i="5"/>
  <c r="G49" i="5"/>
  <c r="G39" i="5"/>
  <c r="G24" i="5"/>
  <c r="G34" i="5"/>
  <c r="I49" i="4"/>
  <c r="H49" i="4"/>
  <c r="G49" i="4"/>
  <c r="G34" i="4"/>
  <c r="G80" i="8" s="1"/>
  <c r="I35" i="4"/>
  <c r="I81" i="8" s="1"/>
  <c r="H35" i="4"/>
  <c r="H81" i="8" s="1"/>
  <c r="G35" i="4"/>
  <c r="G81" i="8" s="1"/>
  <c r="I34" i="4"/>
  <c r="I80" i="8" s="1"/>
  <c r="H34" i="4"/>
  <c r="H80" i="8" s="1"/>
  <c r="H45" i="3"/>
  <c r="H47" i="3"/>
  <c r="G45" i="3"/>
  <c r="G11" i="4"/>
  <c r="G33" i="4" s="1"/>
  <c r="G79" i="8" s="1"/>
  <c r="H23" i="9" l="1"/>
  <c r="I24" i="7"/>
  <c r="J24" i="7" s="1"/>
  <c r="H27" i="8"/>
  <c r="I21" i="8"/>
  <c r="H26" i="8"/>
  <c r="G22" i="8"/>
  <c r="H21" i="8"/>
  <c r="H32" i="8"/>
  <c r="I26" i="8"/>
  <c r="G27" i="8"/>
  <c r="G31" i="8"/>
  <c r="I32" i="8"/>
  <c r="H31" i="8"/>
  <c r="G26" i="8"/>
  <c r="I31" i="8"/>
  <c r="G32" i="8"/>
  <c r="I27" i="8"/>
  <c r="I28" i="8" s="1"/>
  <c r="I29" i="8" s="1"/>
  <c r="I30" i="8" s="1"/>
  <c r="G21" i="8"/>
  <c r="G23" i="8" s="1"/>
  <c r="G24" i="8" s="1"/>
  <c r="G25" i="8" s="1"/>
  <c r="H22" i="8"/>
  <c r="H23" i="8" s="1"/>
  <c r="H24" i="8" s="1"/>
  <c r="H25" i="8" s="1"/>
  <c r="I22" i="8"/>
  <c r="I23" i="8" s="1"/>
  <c r="I24" i="8" s="1"/>
  <c r="I25" i="8" s="1"/>
  <c r="J19" i="4"/>
  <c r="G21" i="4"/>
  <c r="J21" i="4" s="1"/>
  <c r="J25" i="4" s="1"/>
  <c r="I6" i="7" s="1"/>
  <c r="I38" i="7" s="1"/>
  <c r="I22" i="7"/>
  <c r="J22" i="7" s="1"/>
  <c r="G28" i="5"/>
  <c r="G29" i="5" s="1"/>
  <c r="G30" i="5" s="1"/>
  <c r="G39" i="4"/>
  <c r="G85" i="8" s="1"/>
  <c r="G53" i="4"/>
  <c r="G38" i="3" s="1"/>
  <c r="G103" i="3" s="1"/>
  <c r="G104" i="3" s="1"/>
  <c r="I33" i="4"/>
  <c r="G47" i="5"/>
  <c r="G48" i="5" s="1"/>
  <c r="H33" i="4"/>
  <c r="H28" i="8" l="1"/>
  <c r="H29" i="8" s="1"/>
  <c r="J6" i="7"/>
  <c r="J38" i="7" s="1"/>
  <c r="H33" i="8"/>
  <c r="H34" i="8" s="1"/>
  <c r="H35" i="8" s="1"/>
  <c r="G33" i="8"/>
  <c r="G34" i="8" s="1"/>
  <c r="G35" i="8" s="1"/>
  <c r="I33" i="8"/>
  <c r="I34" i="8" s="1"/>
  <c r="G28" i="8"/>
  <c r="G29" i="8" s="1"/>
  <c r="G30" i="8" s="1"/>
  <c r="H39" i="4"/>
  <c r="H85" i="8" s="1"/>
  <c r="H79" i="8"/>
  <c r="I39" i="4"/>
  <c r="I85" i="8" s="1"/>
  <c r="I79" i="8"/>
  <c r="H30" i="8"/>
  <c r="H36" i="8" s="1"/>
  <c r="I21" i="7"/>
  <c r="J21" i="7" s="1"/>
  <c r="G35" i="5"/>
  <c r="G38" i="5" s="1"/>
  <c r="G40" i="5" s="1"/>
  <c r="J23" i="7"/>
  <c r="G50" i="5"/>
  <c r="I26" i="7"/>
  <c r="G43" i="3"/>
  <c r="G42" i="3"/>
  <c r="G54" i="4"/>
  <c r="G55" i="4" s="1"/>
  <c r="I53" i="4"/>
  <c r="I38" i="3" s="1"/>
  <c r="H53" i="4"/>
  <c r="H38" i="3" s="1"/>
  <c r="J38" i="3" l="1"/>
  <c r="G36" i="8"/>
  <c r="I35" i="8"/>
  <c r="I36" i="8" s="1"/>
  <c r="I37" i="8" s="1"/>
  <c r="H40" i="8"/>
  <c r="H41" i="8"/>
  <c r="G37" i="8"/>
  <c r="G40" i="8"/>
  <c r="G41" i="8"/>
  <c r="G42" i="8" s="1"/>
  <c r="G43" i="8" s="1"/>
  <c r="H37" i="8"/>
  <c r="J26" i="7"/>
  <c r="I25" i="7"/>
  <c r="J25" i="7" s="1"/>
  <c r="H43" i="3"/>
  <c r="H103" i="3"/>
  <c r="H42" i="3"/>
  <c r="H51" i="3"/>
  <c r="I43" i="3"/>
  <c r="I51" i="3"/>
  <c r="I103" i="3"/>
  <c r="I104" i="3" s="1"/>
  <c r="I42" i="3"/>
  <c r="G52" i="4"/>
  <c r="G66" i="4" s="1"/>
  <c r="J53" i="4"/>
  <c r="I54" i="4"/>
  <c r="I55" i="4" s="1"/>
  <c r="I52" i="4" s="1"/>
  <c r="I66" i="4" s="1"/>
  <c r="H54" i="4"/>
  <c r="H55" i="4" s="1"/>
  <c r="H52" i="4" s="1"/>
  <c r="H66" i="4" s="1"/>
  <c r="I41" i="8" l="1"/>
  <c r="I42" i="8" s="1"/>
  <c r="I40" i="8"/>
  <c r="J40" i="8" s="1"/>
  <c r="H43" i="8"/>
  <c r="H45" i="8" s="1"/>
  <c r="J41" i="8"/>
  <c r="J42" i="8" s="1"/>
  <c r="H42" i="8"/>
  <c r="G45" i="8"/>
  <c r="J43" i="3"/>
  <c r="I49" i="3"/>
  <c r="I52" i="3" s="1"/>
  <c r="J44" i="3"/>
  <c r="G49" i="3"/>
  <c r="D75" i="3"/>
  <c r="H49" i="3"/>
  <c r="H52" i="3" s="1"/>
  <c r="G61" i="3"/>
  <c r="G60" i="3"/>
  <c r="J42" i="3"/>
  <c r="H104" i="3"/>
  <c r="J104" i="3" s="1"/>
  <c r="J103" i="3"/>
  <c r="G56" i="4"/>
  <c r="G68" i="4" s="1"/>
  <c r="G60" i="4"/>
  <c r="G61" i="4" s="1"/>
  <c r="J54" i="4"/>
  <c r="J55" i="4" s="1"/>
  <c r="G67" i="4"/>
  <c r="J66" i="4"/>
  <c r="J52" i="4"/>
  <c r="G51" i="3"/>
  <c r="I60" i="4"/>
  <c r="I61" i="4" s="1"/>
  <c r="I56" i="4"/>
  <c r="H60" i="4"/>
  <c r="H61" i="4" s="1"/>
  <c r="H56" i="4"/>
  <c r="J61" i="4" l="1"/>
  <c r="G9" i="7" s="1"/>
  <c r="J49" i="3"/>
  <c r="I43" i="8"/>
  <c r="I45" i="8" s="1"/>
  <c r="J45" i="8"/>
  <c r="G68" i="8" s="1"/>
  <c r="G62" i="4"/>
  <c r="G63" i="4" s="1"/>
  <c r="D69" i="3"/>
  <c r="I34" i="7"/>
  <c r="J34" i="7" s="1"/>
  <c r="I33" i="7"/>
  <c r="J33" i="7" s="1"/>
  <c r="J51" i="3"/>
  <c r="G52" i="3"/>
  <c r="J56" i="4"/>
  <c r="J60" i="4"/>
  <c r="D76" i="3"/>
  <c r="G69" i="4"/>
  <c r="I62" i="4"/>
  <c r="I63" i="4" s="1"/>
  <c r="I64" i="4" s="1"/>
  <c r="I67" i="4"/>
  <c r="I68" i="4"/>
  <c r="H67" i="4"/>
  <c r="H62" i="4"/>
  <c r="H63" i="4" s="1"/>
  <c r="H64" i="4" s="1"/>
  <c r="H68" i="4"/>
  <c r="J52" i="3" l="1"/>
  <c r="G55" i="3" s="1"/>
  <c r="G56" i="3" s="1"/>
  <c r="G92" i="3" s="1"/>
  <c r="I31" i="7" s="1"/>
  <c r="J43" i="8"/>
  <c r="J44" i="8" s="1"/>
  <c r="H9" i="7"/>
  <c r="D83" i="3"/>
  <c r="D87" i="3"/>
  <c r="G63" i="3"/>
  <c r="G65" i="3" s="1"/>
  <c r="J67" i="4"/>
  <c r="G70" i="4"/>
  <c r="J68" i="4"/>
  <c r="J62" i="4"/>
  <c r="G10" i="7" s="1"/>
  <c r="H10" i="7" s="1"/>
  <c r="G64" i="4"/>
  <c r="J63" i="4"/>
  <c r="D78" i="3"/>
  <c r="I69" i="4"/>
  <c r="I70" i="4" s="1"/>
  <c r="H69" i="4"/>
  <c r="H70" i="4" s="1"/>
  <c r="D70" i="3"/>
  <c r="D73" i="3" s="1"/>
  <c r="D72" i="3"/>
  <c r="D79" i="3"/>
  <c r="G11" i="7" l="1"/>
  <c r="I9" i="7"/>
  <c r="J9" i="7" s="1"/>
  <c r="I10" i="7"/>
  <c r="J10" i="7" s="1"/>
  <c r="J31" i="7"/>
  <c r="H11" i="7"/>
  <c r="D88" i="3"/>
  <c r="G93" i="3" s="1"/>
  <c r="J64" i="4"/>
  <c r="G73" i="4"/>
  <c r="G74" i="4" s="1"/>
  <c r="J69" i="4"/>
  <c r="I11" i="7" l="1"/>
  <c r="J11" i="7" s="1"/>
  <c r="G94" i="3"/>
  <c r="G95" i="3" s="1"/>
  <c r="I32" i="7"/>
  <c r="J70" i="4"/>
  <c r="H73" i="4"/>
  <c r="H74" i="4" s="1"/>
  <c r="J40" i="7" l="1"/>
  <c r="J41" i="7" s="1"/>
  <c r="I40" i="7"/>
  <c r="I41" i="7" s="1"/>
  <c r="G70" i="8"/>
  <c r="G71" i="8" s="1"/>
  <c r="H70" i="8"/>
  <c r="H71" i="8" s="1"/>
  <c r="J32" i="7"/>
  <c r="I29" i="7"/>
  <c r="J29" i="7" l="1"/>
  <c r="J39" i="7" s="1"/>
  <c r="I39" i="7"/>
</calcChain>
</file>

<file path=xl/sharedStrings.xml><?xml version="1.0" encoding="utf-8"?>
<sst xmlns="http://schemas.openxmlformats.org/spreadsheetml/2006/main" count="461" uniqueCount="357">
  <si>
    <t>TOTAL</t>
  </si>
  <si>
    <t>Contenance (ml)</t>
  </si>
  <si>
    <t>Largeur (mm)</t>
  </si>
  <si>
    <t>Hauteur (mm)</t>
  </si>
  <si>
    <t>Poids (g)</t>
  </si>
  <si>
    <t>Ce coût peut être réduit si les clients sont récurrents et si la collecte peut être faite le lendemain en relivrant de nouveaux repas.</t>
  </si>
  <si>
    <t>€/h</t>
  </si>
  <si>
    <t>€/collecte</t>
  </si>
  <si>
    <t>Distance parcourue par collecte</t>
  </si>
  <si>
    <t>km</t>
  </si>
  <si>
    <t>Fréquence de collecte</t>
  </si>
  <si>
    <t>3 programmes de lavage personnalisables</t>
  </si>
  <si>
    <t xml:space="preserve"> 72/102/192 sec.</t>
  </si>
  <si>
    <t>Tps de lavage 1 cycle (s)</t>
  </si>
  <si>
    <t>Tps préparation 1 cycle casier entrée + programme</t>
  </si>
  <si>
    <t>Tps sortie 1 cycle casier entrée &amp; rangement</t>
  </si>
  <si>
    <t>NRJ</t>
  </si>
  <si>
    <t>kW</t>
  </si>
  <si>
    <t xml:space="preserve">€/kWh </t>
  </si>
  <si>
    <t>kWh/jr</t>
  </si>
  <si>
    <t>€ NRJ/jr</t>
  </si>
  <si>
    <t>kWh/an</t>
  </si>
  <si>
    <t>€ NRJ/an</t>
  </si>
  <si>
    <t>EAU</t>
  </si>
  <si>
    <t>litres d'eau/cycle</t>
  </si>
  <si>
    <t>€/m3</t>
  </si>
  <si>
    <t>l eau/jr</t>
  </si>
  <si>
    <t>€ eau/jr</t>
  </si>
  <si>
    <t>l eau/an</t>
  </si>
  <si>
    <t>€ eau/an</t>
  </si>
  <si>
    <t>LESSIVIELS</t>
  </si>
  <si>
    <t>lien</t>
  </si>
  <si>
    <t>€/an</t>
  </si>
  <si>
    <t>Rinçage</t>
  </si>
  <si>
    <t>Nb de casiers nécessaires</t>
  </si>
  <si>
    <t>Cout d'un casier</t>
  </si>
  <si>
    <t>€ lessiviels/an</t>
  </si>
  <si>
    <t>Total Amt Séchage ( €/an)</t>
  </si>
  <si>
    <t>Nb de jours d'ouverture par semaine</t>
  </si>
  <si>
    <t>Nb de semaines d'ouverture par an</t>
  </si>
  <si>
    <t>Nb de jours d'ouverture par an</t>
  </si>
  <si>
    <t>Taux de retour des contenants (estimation)</t>
  </si>
  <si>
    <t>Taux d'élimination au lavage / usure</t>
  </si>
  <si>
    <t>Nb moyen de contenants par jour</t>
  </si>
  <si>
    <t>ETABLISSEMENT</t>
  </si>
  <si>
    <t>Prix d'une caisse</t>
  </si>
  <si>
    <t>Coût du temps passé pour la collecte</t>
  </si>
  <si>
    <t>fois /semaine</t>
  </si>
  <si>
    <t>fois /an</t>
  </si>
  <si>
    <t>Equivalent en € /contenant</t>
  </si>
  <si>
    <t>OPTION 1 - COLLECTE INTERNE</t>
  </si>
  <si>
    <t>OPTION 2 - COLLECTE EXTERNE</t>
  </si>
  <si>
    <t>Coût d'une collecte externe</t>
  </si>
  <si>
    <t>Coût total annuel pour la collecte externe</t>
  </si>
  <si>
    <t>€</t>
  </si>
  <si>
    <t>OPTION 1 - LAVAGE INTERNE</t>
  </si>
  <si>
    <t>sec.</t>
  </si>
  <si>
    <t>casiers /h</t>
  </si>
  <si>
    <t>Nb de contenants dans un casier</t>
  </si>
  <si>
    <t>Nb de couvercles dans un casier</t>
  </si>
  <si>
    <t>Nb de caisses dans un casier</t>
  </si>
  <si>
    <t>Nb de cycles de lavage nécessaires pour les contenants</t>
  </si>
  <si>
    <t>Nb de cycles de lavage nécessaires pour les couvercles</t>
  </si>
  <si>
    <t>Nb de cycles de lavage nécessaire pour les caisses</t>
  </si>
  <si>
    <t>Tps lavage total/jr (min)</t>
  </si>
  <si>
    <t>Tps séchage au torchon contenants &amp; couvercles (s)</t>
  </si>
  <si>
    <t>Tps séchage total/jr (min)</t>
  </si>
  <si>
    <t>Coût des consommables</t>
  </si>
  <si>
    <t>Equivalent par unité</t>
  </si>
  <si>
    <t>Amortissement de la machine (en € /an)</t>
  </si>
  <si>
    <t>Autre option pour le séchage : séchage sur échelle</t>
  </si>
  <si>
    <t>Nb d'échelles nécessaires</t>
  </si>
  <si>
    <t>Coût d'une échelle</t>
  </si>
  <si>
    <t>Coût de l'option séchage sur échelle</t>
  </si>
  <si>
    <t>Amortissement de l'échelle (en années)</t>
  </si>
  <si>
    <t>Coût par contenant</t>
  </si>
  <si>
    <t>Cf. liste des acteurs proposant des prestations de lavage dans le guide principal</t>
  </si>
  <si>
    <t>Recette des consignes non retournées</t>
  </si>
  <si>
    <t>INTRODUCTION</t>
  </si>
  <si>
    <t>METHODE</t>
  </si>
  <si>
    <t>Le document est pré-rempli à titre d'exemple.</t>
  </si>
  <si>
    <t>Longueur (mm)</t>
  </si>
  <si>
    <t>Volume (L)</t>
  </si>
  <si>
    <t>DESCRIPTION DES DIFFERENTES ETAPES POUR L'EVALUATION DES COUTS</t>
  </si>
  <si>
    <t>Nb d'unités vendues par an</t>
  </si>
  <si>
    <r>
      <t xml:space="preserve">C1
</t>
    </r>
    <r>
      <rPr>
        <b/>
        <sz val="11"/>
        <rFont val="Calibri"/>
        <family val="2"/>
        <scheme val="minor"/>
      </rPr>
      <t>Entrée</t>
    </r>
  </si>
  <si>
    <r>
      <t xml:space="preserve">C2
</t>
    </r>
    <r>
      <rPr>
        <b/>
        <sz val="11"/>
        <color theme="1"/>
        <rFont val="Calibri"/>
        <family val="2"/>
        <scheme val="minor"/>
      </rPr>
      <t>Plat</t>
    </r>
  </si>
  <si>
    <r>
      <t xml:space="preserve">C3
</t>
    </r>
    <r>
      <rPr>
        <b/>
        <sz val="11"/>
        <color theme="1"/>
        <rFont val="Calibri"/>
        <family val="2"/>
        <scheme val="minor"/>
      </rPr>
      <t>Dessert</t>
    </r>
  </si>
  <si>
    <t>C1</t>
  </si>
  <si>
    <t>C2</t>
  </si>
  <si>
    <t>Informations  sur les contenants réemployables</t>
  </si>
  <si>
    <t xml:space="preserve">Estimation du pourcentage de contenants qui seront effectivement rendus par les consommateurs. Si le contenant est consigné &gt;1€, le taux de retour devrait être &gt; 90%. </t>
  </si>
  <si>
    <t xml:space="preserve">Estimation du pourcentage de contenants qu'il faudra remplacer à chaque cycle pour des raisons techniques et non du fait que le consommateur ne le ramène pas. Ce taux va dépendre de la tenue des contenants aux lavages successifs, à leur robustesse, à leur capacité à ne pas se tâcher ou se rayer. Habituellement ce taux va être inférieur à 10%, mais vous pouvez questionner vos prestataires de collecte et de lavage si voux externalisez cette prestation. </t>
  </si>
  <si>
    <t xml:space="preserve">Calcul du nombre de cycles effectués en moyenne pour chaque contenant réemployable. Il s'agit d'une moyenne, certains contenants vont tourner 1 seule fois et ne jamais être rendus quand d'autres vont tourner beaucoup plus. </t>
  </si>
  <si>
    <t xml:space="preserve">Il s'agit du nb de jours entre le moment où le consommateur emporte le contenant et celui ou le contenant est propre et prêt à être utilisé une nouvelle fois. Il faut ajouter : le nb de jours où le contenant es gardé par le consommateur en cas de vente à emporter ainsi que le nombre de jours d'immobilisation pour la collecte, le lavage et la relivraison. Pour évaluer ce nombre le plus précisément possible, il est conseillé de faire des tests auprès de vos consommateurs pour la vente à emporter, et de bien poser vos options pour la collecte et le lavage. Par exemple, si vous externalisez la collecte et lavage, avec une fréquence de passage hebdomadaire, il vous faudra l'équivalent de 5 ou 6 jrs de contenants en stocks. Si vous internalisez le lavage et que vous pouvez laver le jour même, il est possible de réduire à 1 jeu de contenants en stock seulement. </t>
  </si>
  <si>
    <t>Il s'agit du % de pic d'activité observé entre une moyenne habituelle et une semaine plus chargée</t>
  </si>
  <si>
    <t>Nb de jours d'immobilisation chez le consommateur</t>
  </si>
  <si>
    <t>Nb de jours d'immobilisation liée à la collecte et au lavage</t>
  </si>
  <si>
    <t>Informations générales sur votre établissement</t>
  </si>
  <si>
    <t xml:space="preserve">Nb de jours où en moyenne un consommateur va garder le contenant avant de le rendre. Ce nb = 0 en cas de vente sur place. </t>
  </si>
  <si>
    <t>Si la prestation de collecte/lavage est externalisée, ce nb de jours est la différence de jours entre deux passages du prestataire. Si elle est internalisée elle dépendra de vos process (1 jr par exemple si vous lavez le lendemain, 0 jr si vous lavez le jour même)</t>
  </si>
  <si>
    <t>En fonction de votre historique de ventes ou de vos projections</t>
  </si>
  <si>
    <t>Nb de cycles par contenant (en moyenne)</t>
  </si>
  <si>
    <t>Nb de jours d'immobilisation des contenants</t>
  </si>
  <si>
    <t>% de pic d'activité observé</t>
  </si>
  <si>
    <t>Stock de départ permettant de gérer les immobilisations des contenants ainsi que les pics d'activité</t>
  </si>
  <si>
    <t>Coût d'achat unitaire neuf</t>
  </si>
  <si>
    <t xml:space="preserve">Montant de la consigne ou coût refacturé si pas de retour </t>
  </si>
  <si>
    <t>Nb de contenants neufs à réinjecter /jrnée type</t>
  </si>
  <si>
    <t>Nb de contenants rendus /jrnée type</t>
  </si>
  <si>
    <t>Nb de contenants jetés post lavage /jrnée type</t>
  </si>
  <si>
    <t>Nb de contenants réemployés /jrnée type</t>
  </si>
  <si>
    <t>TOTAL /jrnée type</t>
  </si>
  <si>
    <t>Journée Type pour chaque type de contenants</t>
  </si>
  <si>
    <t>Stock initial de contenants</t>
  </si>
  <si>
    <t>Couts d'achat du parc de contenants (année 1)</t>
  </si>
  <si>
    <t>Recettes des consignes non retournées (année 1)</t>
  </si>
  <si>
    <t>Nb de contenants à acheter (année 1)</t>
  </si>
  <si>
    <t>Recettes des consignes non retournées (à partir de l'année 2)</t>
  </si>
  <si>
    <t>Bilan du coût des contenants (année 1)</t>
  </si>
  <si>
    <t>Nb de contenants à renouveler (à partir de l'année 2)</t>
  </si>
  <si>
    <t>Couts de renouvellement du parc (à partir de l'année 2)</t>
  </si>
  <si>
    <t>Bilan du coût des contenants (à partir de l'année 2)</t>
  </si>
  <si>
    <t>Couts unitaires à récupérer auprès de vos fournisseurs</t>
  </si>
  <si>
    <t>Hauteur d'encastrement des contenants (mm)</t>
  </si>
  <si>
    <t>CAISSES DE STOCKAGE POUR VOS CONTENANTS</t>
  </si>
  <si>
    <r>
      <t xml:space="preserve">Il s'agit ici de dimensionner le besoins en caisses de stockage pour les </t>
    </r>
    <r>
      <rPr>
        <u/>
        <sz val="11"/>
        <color theme="1"/>
        <rFont val="Calibri"/>
        <family val="2"/>
        <scheme val="minor"/>
      </rPr>
      <t>contenants sales</t>
    </r>
    <r>
      <rPr>
        <sz val="11"/>
        <color theme="1"/>
        <rFont val="Calibri"/>
        <family val="2"/>
        <scheme val="minor"/>
      </rPr>
      <t xml:space="preserve"> et les </t>
    </r>
    <r>
      <rPr>
        <u/>
        <sz val="11"/>
        <color theme="1"/>
        <rFont val="Calibri"/>
        <family val="2"/>
        <scheme val="minor"/>
      </rPr>
      <t>contenants propres</t>
    </r>
    <r>
      <rPr>
        <sz val="11"/>
        <color theme="1"/>
        <rFont val="Calibri"/>
        <family val="2"/>
        <scheme val="minor"/>
      </rPr>
      <t xml:space="preserve">. </t>
    </r>
  </si>
  <si>
    <t>Bilan du coût des contenants (année 1) ramené à chaque usage ou cycle</t>
  </si>
  <si>
    <t>Bilan du coût des contenants (à partir de l'année 2) ramené à chaque usage ou cycle</t>
  </si>
  <si>
    <t>Les formules vous permettent de calculer "théoriquement" le nombre de contenants que vous pouvez mettre dans une caisse.</t>
  </si>
  <si>
    <t>nb de contenants encastrés par piles - position verticale</t>
  </si>
  <si>
    <t>nb de piles par caisse - position verticale</t>
  </si>
  <si>
    <t>extérieure</t>
  </si>
  <si>
    <t>intérieure</t>
  </si>
  <si>
    <t>cette donnée peut être fournie par les fournisseurs, il s'agit de la distance entre 2 bords supérieurs de 2 contenants encastrés</t>
  </si>
  <si>
    <t>nb de contenants encastrés par piles - position hz dans la longueur</t>
  </si>
  <si>
    <t>nb de piles par caisse - position hz dans la longueur</t>
  </si>
  <si>
    <t>nb de contenants encastrés par piles - position hz dans la largeur</t>
  </si>
  <si>
    <t>nb de piles par caisse - position hz dans la largeur</t>
  </si>
  <si>
    <t>pour des contenants ronds, longueur = largeur = diametre du contenant</t>
  </si>
  <si>
    <t>nb de contenants max / caisse - position verticale</t>
  </si>
  <si>
    <t>nb de contenants max / caisse - position hz dans la longueur</t>
  </si>
  <si>
    <t>Poids contenant vide (g)</t>
  </si>
  <si>
    <t>Hauteur du couvercle correspondant (mm)</t>
  </si>
  <si>
    <t>nb de piles nécessaires pour les couvercles correspondants</t>
  </si>
  <si>
    <t>nb de contenants + couvercles max / caisse - position verticale</t>
  </si>
  <si>
    <t>place prise pour les couvercles correspondants en nb de contenants équivalents</t>
  </si>
  <si>
    <t>nb de contenants max / caisse - position hz dans la largeur</t>
  </si>
  <si>
    <t>nb de contenants encastrés max par caisse + couvercles</t>
  </si>
  <si>
    <t>nb de contenants + couvercles max / caisse - position hz dans la longueur</t>
  </si>
  <si>
    <t>nb de contenants + couvercles max / caisse - position hz dans la largeur</t>
  </si>
  <si>
    <t>poids équivalent caisse pleine de contenants (kg)</t>
  </si>
  <si>
    <t>nb de caisses pour stockers les contenants sales / jr</t>
  </si>
  <si>
    <t>nb de caisses pour stockers les contenants sales entre 2 tournées de collecte/lavage</t>
  </si>
  <si>
    <t>Besoins en nb de caisses</t>
  </si>
  <si>
    <t>cout d'achat des caisses en année 1</t>
  </si>
  <si>
    <t>Année 1</t>
  </si>
  <si>
    <t>Bilan pour l'année 1</t>
  </si>
  <si>
    <t>Bilan annuel à partir de l'année 2</t>
  </si>
  <si>
    <t xml:space="preserve">Bilan pour les caisses des stockage des contenants </t>
  </si>
  <si>
    <t>nb de caisses pour stockers les contenants propres livrés</t>
  </si>
  <si>
    <t>C3</t>
  </si>
  <si>
    <t>&gt; Année 2</t>
  </si>
  <si>
    <t>Cout des contenants</t>
  </si>
  <si>
    <t>Cout des caisses</t>
  </si>
  <si>
    <t>Caisse de stockage - dimensions</t>
  </si>
  <si>
    <t>C1 = contenant type 1 pour les entrées
C2 = contenant type 2  pour les plats
C3 = contenant type 3 pour les desserts</t>
  </si>
  <si>
    <t>il faut éviter des poids &gt; 10/12 kg par caisse</t>
  </si>
  <si>
    <t>place max prise au sol par les caisses stockées en piles en m²</t>
  </si>
  <si>
    <t>Il est d'usage de consigner les contenants à leur prix d'achat  correspondant à la valeur perçue par un consommateur. Une politique différente peut être appliquée sans tomber dans les effets pervers de la consigne à savoir, un montant trop élevé sera disuasif et un montant trop faible sera un effet d'aubaine</t>
  </si>
  <si>
    <t>cout ramené à l'usage de chaque contenant</t>
  </si>
  <si>
    <t>PREAMBULE</t>
  </si>
  <si>
    <t xml:space="preserve">Des coûts de collecte sont à évaluer si : </t>
  </si>
  <si>
    <t>&gt; en interne par vous-même si vous êtes équipés de véhicules adéquats : vélos cargos ou véhicules légers ou camions en fonction des volumes à traiter</t>
  </si>
  <si>
    <t>&gt; par un prestataire spécalisé réalisant la collecte et le lavage</t>
  </si>
  <si>
    <t>vous permet d'évaluer les coûts de lavage fait soit par vous-même, soit par un prestataire externe</t>
  </si>
  <si>
    <t>vous permet d'évaluer les coûts de collecte réalisée soit par vous-même, soit par un prestataire externe</t>
  </si>
  <si>
    <t>vous donne la synthèse des différentes options à chaque étape</t>
  </si>
  <si>
    <t>Vous pouvez modifier uniquement les cases surlignées en jaunes, dans les onglets verts</t>
  </si>
  <si>
    <t>cases à remplir</t>
  </si>
  <si>
    <t xml:space="preserve">résultats </t>
  </si>
  <si>
    <t>&gt; les contenants sont à récupérer chez le client (ex : activité traiteur ou restauration déportée) puis ramenés à l'endroit où ils seront lavés puis relivrés au restaurant</t>
  </si>
  <si>
    <t xml:space="preserve">Eq carburant </t>
  </si>
  <si>
    <t>Nb d'années d'amortissement</t>
  </si>
  <si>
    <t>ans</t>
  </si>
  <si>
    <t>Cout d'achat du véhicule servant à la collecte</t>
  </si>
  <si>
    <t>/an</t>
  </si>
  <si>
    <t>Véhicule</t>
  </si>
  <si>
    <t>ex : 10 k€ pour un vélo cargo, 25 k€ pour un véhicule léger type utilitaire</t>
  </si>
  <si>
    <t>Nb d'hrs d'amortissement</t>
  </si>
  <si>
    <t>hrs</t>
  </si>
  <si>
    <t>Amortissement horaire du véhicule</t>
  </si>
  <si>
    <t>/hr</t>
  </si>
  <si>
    <t>Temps de parcours d'une collecte AR</t>
  </si>
  <si>
    <t>Salaire horaire chargé chauffeur</t>
  </si>
  <si>
    <t>min</t>
  </si>
  <si>
    <t>/collecte</t>
  </si>
  <si>
    <t>Cout carburant</t>
  </si>
  <si>
    <t>€/km</t>
  </si>
  <si>
    <t>Chauffeur</t>
  </si>
  <si>
    <t>Carburant</t>
  </si>
  <si>
    <t>Coût total pour une collecte</t>
  </si>
  <si>
    <t>Soit en nb fois/an</t>
  </si>
  <si>
    <t>Temps de chargement / déchargement</t>
  </si>
  <si>
    <t>Temps d'arrêt</t>
  </si>
  <si>
    <t>en prenant l'hypothèse que le véhicule est utilisé 5hr/jr</t>
  </si>
  <si>
    <t>Amortissement pour 1 collecte</t>
  </si>
  <si>
    <t>Coût total annuel - collecte interne</t>
  </si>
  <si>
    <t>Nb de contenants collectés</t>
  </si>
  <si>
    <t>case préremplie avec la somme des contenants de l'onglet "Contenants". Cette case peut être actualisée si tous les contenants réemployables ne font pas l'objet d'une collecte (ex : activité traiteur avec livraison sur une partie des contenants seulement</t>
  </si>
  <si>
    <t>&gt; les contenants sont rendus par le consommateur au restaurant ; les contenants partent ensuite vers une station de lavage externalisée puis reviennent propres au restaurant</t>
  </si>
  <si>
    <t>tps de parcours complet pour que les contenants reviennent au restaurant. Attention si vous faites 2 AR vers une station de lavage, 1 fois pour livrer le sale et 1 fois pour aller chercher le propre, il faut compter 4 fois la distance Restaurant &gt; Station de lavage; si vous mutualisez la livraison du sale avec la reprise du propre le temps est à adapter en ne considérant que 2 fois la distance.</t>
  </si>
  <si>
    <t>tps pour garer le véhicule et se rendre dans les locaux</t>
  </si>
  <si>
    <t>&gt; par un prestataire spécialisé dans la collecte uniquement</t>
  </si>
  <si>
    <t>Coût d'un trajet  R &gt; L &gt; R</t>
  </si>
  <si>
    <t>Nb de trajets R &gt; L &gt; R</t>
  </si>
  <si>
    <t>Cout à indiquer en fonction des devis demandés à des prestataires spécialisés. 
Dans la majeure partie des cas, la collecte nécessitera de partir du restaurant (R) livrer le sale à une station de lavage (L), reprendre le propre de la veille et ramener le propre au restaurant (R)</t>
  </si>
  <si>
    <t>La collecte de vos contenants peut se faire :</t>
  </si>
  <si>
    <t>Les résultats importants apparaissent en vert dans chaque onglet et sont repris dans la Synthèse</t>
  </si>
  <si>
    <t>Le lavage de vos contenants et de leurs couvercles peut se faire :</t>
  </si>
  <si>
    <t xml:space="preserve">&gt; en interne si vous êtes équipés de machines adaptées (type machine à capot) et que vous disposez de main d'œuvre formée </t>
  </si>
  <si>
    <t>&gt; par un prestataire spécalisé dans le lavage des contenants alimentaires situé à proximité de votre restaurant (cf. couts de collecte)</t>
  </si>
  <si>
    <t>Tps dérochage par contenant (s)</t>
  </si>
  <si>
    <t>le dérochage est une étape consistant à vider les contenants de leurs restes alimentaires</t>
  </si>
  <si>
    <t>il est conseillé de faire un test et de vous chronométrer pour remplir les cases suivantes en jaune</t>
  </si>
  <si>
    <t>Nb moyen de contenants/jr à laver</t>
  </si>
  <si>
    <t>Programme préférentiel retenu</t>
  </si>
  <si>
    <t>Capacité - nb de casiers par heure</t>
  </si>
  <si>
    <t>Estimation du temps d'hygiénisation (en min / jr)</t>
  </si>
  <si>
    <t>Cout d'achat du lave vaisselle</t>
  </si>
  <si>
    <t>Années d'amortissement</t>
  </si>
  <si>
    <t>Annuité d'amortissement du lave vaisselle</t>
  </si>
  <si>
    <t>Coût du personnel pour l'hygiénisation (en € /jour)</t>
  </si>
  <si>
    <t>Coût du personnel pour l'hygiénisation (en € /an)</t>
  </si>
  <si>
    <t>Evaluation du temps journalier pour l'hygiénisation des contenants</t>
  </si>
  <si>
    <t>Coût horaire d'un laveur chargé</t>
  </si>
  <si>
    <t>/heure</t>
  </si>
  <si>
    <t>Lave-vaisselle - Données techniques et cout d'achat</t>
  </si>
  <si>
    <t>puissance du lave-vaisselle</t>
  </si>
  <si>
    <t xml:space="preserve">prix du kWh </t>
  </si>
  <si>
    <t>cout de l'eau</t>
  </si>
  <si>
    <t>consommation d'eau froide adoucie du lave-vaisselle</t>
  </si>
  <si>
    <t>ml/l d'eau</t>
  </si>
  <si>
    <t>Lavage</t>
  </si>
  <si>
    <t>par litre</t>
  </si>
  <si>
    <t>Coût total lavage interne</t>
  </si>
  <si>
    <t>Consommables</t>
  </si>
  <si>
    <t>TOTAL (en € / an)</t>
  </si>
  <si>
    <t>Consommables (en € / an)</t>
  </si>
  <si>
    <t>Personnel pour l'hygiénisation (en € / an)</t>
  </si>
  <si>
    <t>OPTION 2  - LAVAGE EXTERNE</t>
  </si>
  <si>
    <t>en fonction des devis fournis par les prestataires</t>
  </si>
  <si>
    <t>Coût du lavage externe</t>
  </si>
  <si>
    <t>Volumes annuels à laver</t>
  </si>
  <si>
    <t>Ex de référence lave-vaisselle compatible avec du lavage interne</t>
  </si>
  <si>
    <t>Dimensions du panier de lavage (L x l, en mm)</t>
  </si>
  <si>
    <t>Contenants</t>
  </si>
  <si>
    <t>Collecte</t>
  </si>
  <si>
    <t>Synthèse</t>
  </si>
  <si>
    <t>SYNTHESE DES COUTS DES DIFFERENTES OPTIONS</t>
  </si>
  <si>
    <t>Couts des contenants (achat)</t>
  </si>
  <si>
    <t>Coût année 1</t>
  </si>
  <si>
    <t>Eq /usage</t>
  </si>
  <si>
    <t>Cout /an</t>
  </si>
  <si>
    <t>Eq/usage</t>
  </si>
  <si>
    <t>option collecte interne</t>
  </si>
  <si>
    <t>option collecte externe</t>
  </si>
  <si>
    <t>Sur devis des prestataires</t>
  </si>
  <si>
    <t>COUT DU LAVAGE</t>
  </si>
  <si>
    <t>option lavage interne</t>
  </si>
  <si>
    <t>option lavage externe</t>
  </si>
  <si>
    <t>Amortissement machine</t>
  </si>
  <si>
    <t xml:space="preserve">Personnel </t>
  </si>
  <si>
    <r>
      <t xml:space="preserve">Coût/an  </t>
    </r>
    <r>
      <rPr>
        <i/>
        <sz val="9"/>
        <color theme="1"/>
        <rFont val="Calibri"/>
        <family val="2"/>
        <scheme val="minor"/>
      </rPr>
      <t>(&gt; an 2)</t>
    </r>
  </si>
  <si>
    <t>COUT DES CONTENANTS REEMPLOYABLES</t>
  </si>
  <si>
    <t>CONTENANTS REEMPLOYABLES POUR VOS ENTREES - PLATS - DESSERTS</t>
  </si>
  <si>
    <t>Résultats pour votre parc de contenants réemployables</t>
  </si>
  <si>
    <t>Entrée</t>
  </si>
  <si>
    <t>Plat</t>
  </si>
  <si>
    <t>Dessert</t>
  </si>
  <si>
    <t>Nb de contenants utilisés par an</t>
  </si>
  <si>
    <t>CONTENANTS JETABLES ACTUELS POUR VOS ENTREES - PLATS - DESSERTS</t>
  </si>
  <si>
    <t>Cout unitaire des contenants utilisés avec leur couvercle</t>
  </si>
  <si>
    <t>Vous pouvez retrouver aisément ces informations sur vos factures fournisseurs</t>
  </si>
  <si>
    <t>Cout annuel des contenants utilisés avec leur couvercle</t>
  </si>
  <si>
    <t>Cout annuel du traitement des déchets d'emballage</t>
  </si>
  <si>
    <t>% en volume des contenants jetés vs les déchets d'emballages au total de l'établissement</t>
  </si>
  <si>
    <t>% approximatif que les déchets correspondant aux contenants alimentaires pour les entrées/plats/desserts représentent dans les déchets d'emballages totaux gérés par votre établissement</t>
  </si>
  <si>
    <t>Vous pouvez personnaliser 3 types d'emballages utilisés dans votre établissement. Vous pouvez par ex remplacer entrée par boisson chaude si vous servez des boissons dans des gobelets jetables</t>
  </si>
  <si>
    <t xml:space="preserve">Si vous avez un contrat avec un prestataire spécialisé ou une collectivité pour le traitement et/ou le recyclage de vos déchets d'emballage vous pouvez retrouver cette information sur vos factures, sinon si c'est la collectivité qui se charge de vous collecter gratuitement, vous pouvez indiquer 0. </t>
  </si>
  <si>
    <t>Cout annuel du traitement des déchets pour les contenants alimentaires</t>
  </si>
  <si>
    <t>Cout annuel total pour les contenants alimentaires</t>
  </si>
  <si>
    <t>COUT ACTUEL DES CONTENANTS JETABLES</t>
  </si>
  <si>
    <t>TOTAL Cout des contenants réempoyables</t>
  </si>
  <si>
    <t>COUT DE COLLECTE  (OPTIONNEL)</t>
  </si>
  <si>
    <t>Cout d'achat des contenants jetables + gestion déchets</t>
  </si>
  <si>
    <t>SCENARIOS COMPARATIFS</t>
  </si>
  <si>
    <t>SR Futur Réemploi : contenants + lavage interne</t>
  </si>
  <si>
    <t>SR Actuel Jetable</t>
  </si>
  <si>
    <t>AUTEURS DE L'OUTIL</t>
  </si>
  <si>
    <t>Il est libre de droits.</t>
  </si>
  <si>
    <t xml:space="preserve">Pour toute question relative à l'outil : </t>
  </si>
  <si>
    <t>dechets@takeawaste.fr</t>
  </si>
  <si>
    <r>
      <t xml:space="preserve">C1
</t>
    </r>
    <r>
      <rPr>
        <b/>
        <i/>
        <sz val="8"/>
        <rFont val="Calibri"/>
        <family val="2"/>
        <scheme val="minor"/>
      </rPr>
      <t>Entrée</t>
    </r>
  </si>
  <si>
    <r>
      <t xml:space="preserve">C2
</t>
    </r>
    <r>
      <rPr>
        <b/>
        <i/>
        <sz val="8"/>
        <color theme="1"/>
        <rFont val="Calibri"/>
        <family val="2"/>
        <scheme val="minor"/>
      </rPr>
      <t>Plat</t>
    </r>
  </si>
  <si>
    <r>
      <t xml:space="preserve">C3
</t>
    </r>
    <r>
      <rPr>
        <b/>
        <i/>
        <sz val="8"/>
        <color theme="1"/>
        <rFont val="Calibri"/>
        <family val="2"/>
        <scheme val="minor"/>
      </rPr>
      <t>Dessert</t>
    </r>
  </si>
  <si>
    <t>MEUBLES DE RECUPERATION DES CONTENANTS EN RESTAURANT (OPTION)</t>
  </si>
  <si>
    <t>Ces calculs théoriques seront à doubler d'un test physique pour valider les hypothèses considérées.</t>
  </si>
  <si>
    <t>Ce meuble peut être:</t>
  </si>
  <si>
    <t xml:space="preserve">&gt;  connecté ou non (pour gérer le remboursement de la consinge) </t>
  </si>
  <si>
    <t>&gt; sécurisé ou non (pour éviter les vols de contenants)</t>
  </si>
  <si>
    <t>&gt; conçu et fabriqué par vous-même ou acheté sur étagère</t>
  </si>
  <si>
    <t>&gt; acheté ou loué</t>
  </si>
  <si>
    <t>Il est possible que vous souhaitiez mettre à disposition de vos consommateurs un meuble ou une machine de récupération de vos contenants au sein de votre établissement.</t>
  </si>
  <si>
    <t>Cela permet de faciliter le retour des contenants, sans que le consommateur n'ait à repasser à la caisse.</t>
  </si>
  <si>
    <t>Cout d'achat du meuble</t>
  </si>
  <si>
    <t>Frais d'installation ou de mise en service</t>
  </si>
  <si>
    <t>si le meuble est loué, indiquez ici directement le montant des annuités de location</t>
  </si>
  <si>
    <t>Nb de meubles</t>
  </si>
  <si>
    <t>Cout annuel du/des meuble(s)</t>
  </si>
  <si>
    <t>Cout du/des meuble(s)</t>
  </si>
  <si>
    <t>COUT DES CAISSES ET MEUBLES DE COLLECTE</t>
  </si>
  <si>
    <t>Coût étiquette QR Code/ Rfid</t>
  </si>
  <si>
    <t>Couts des étiquettes apposées aux contenants pour garantir leur traçabilité ou la gestion de la consigne. Le cout comprend la presatation de pose des étiquettes sur chaque contenant.</t>
  </si>
  <si>
    <t>Synthèse achat des contenants reemployables</t>
  </si>
  <si>
    <t>Meuble de récupération</t>
  </si>
  <si>
    <t>&gt; associé à une offre de collecte/lavage externe ou non</t>
  </si>
  <si>
    <t>Synthèse cout des caisses et meubles</t>
  </si>
  <si>
    <t>&gt; gérer au mieux les flux financiers liés à la consigne des contenants</t>
  </si>
  <si>
    <r>
      <rPr>
        <b/>
        <sz val="11"/>
        <color rgb="FF002542"/>
        <rFont val="Calibri"/>
        <family val="2"/>
        <scheme val="minor"/>
      </rPr>
      <t xml:space="preserve">La traçabilité </t>
    </r>
    <r>
      <rPr>
        <sz val="11"/>
        <color rgb="FF002542"/>
        <rFont val="Calibri"/>
        <family val="2"/>
        <scheme val="minor"/>
      </rPr>
      <t>des contenants permet de :</t>
    </r>
  </si>
  <si>
    <t>vous permet d'évaluer les couts annuels pour l'achat de contenants réemployables</t>
  </si>
  <si>
    <t>vous permet d'évaluer les couts annuels pour l'achat de caisses de stockage et éventuellement de meuble(s) de récupération dans votre établissement</t>
  </si>
  <si>
    <t>vous permet d'estimer les coûts de gestion de votre parc de contenants</t>
  </si>
  <si>
    <t>Traçabilité Gestion Consigne</t>
  </si>
  <si>
    <t>Caisses et meubles</t>
  </si>
  <si>
    <t>Couts c€/transaction pour la gestion des flux de consigne</t>
  </si>
  <si>
    <t>Gestion du parc de contenants</t>
  </si>
  <si>
    <t>€/contenants</t>
  </si>
  <si>
    <t>Coût total annuel pour la traçabilité</t>
  </si>
  <si>
    <t>Amortissement des équipements</t>
  </si>
  <si>
    <t>Couts annuels pour un outil informatique de gestion des parcs</t>
  </si>
  <si>
    <t>Equipements type douchette/PDA/portique RFID pour scanner les contenants</t>
  </si>
  <si>
    <t>à évaluer en fonction de vos besoins</t>
  </si>
  <si>
    <t>GESTION DE PARC DE CONTENANTS  (TRACABILITE)</t>
  </si>
  <si>
    <t>COUT DE LA GESTION DE PARC (TRACABILITE)</t>
  </si>
  <si>
    <t>SR Futur Réemploi : contentants + collecte &amp; lavage externe</t>
  </si>
  <si>
    <t>SR Futur Réemploi : contenants + collecte &amp; lavage externe + traçabilité</t>
  </si>
  <si>
    <t>…</t>
  </si>
  <si>
    <t>vous pouvez batir vos propres scénarios</t>
  </si>
  <si>
    <t>Informations sur les contenants jetables actuels</t>
  </si>
  <si>
    <t>Hypothèses pour les (futurs) contenants réemployables</t>
  </si>
  <si>
    <t>si vous faites appel à un prestataire externe de traçabilité des contenants</t>
  </si>
  <si>
    <t xml:space="preserve">L'outil de calcul a été réalisé par le cabinet Take a waste et Anne-Sophie Colin, consultants experts en économie circulaire dans le cadre d'une prestation financée par la Mairie de Paris pour un Appel à Manifestation d'Intérêts. </t>
  </si>
  <si>
    <t>La traçabilité peut être assurée en externe par des prestataires spécialisés ou en interne si vous disposez déjà (ou vous faites l'acquisition) d'outils ou de compétences dans ce domaine.</t>
  </si>
  <si>
    <t>&gt; connaitre de façon précise et récurrente l'état de votre parc de contenants (nombre en circulation, cassés,  état des stocks, etc.)</t>
  </si>
  <si>
    <t>Ce document est une aide à la modélisation économique complète, précise et synthétique des coûts pour les restaurateurs souhaitant passer aux contenants réemployables.</t>
  </si>
  <si>
    <t>Le calculateur s’adresse à tous les restaurateurs qui ont déjà avancé dans leur réflexion. Il vous permet de :
- Ne rien oublier des coûts du passage au réemploi : toutes les étapes sont bien prises en compte ;
- Avoir une vue de synthèse : le dernier onglet de l’Excel reprend les différents coûts et propose un récapitulatif clair et concis. Ainsi, vous n’avez pas besoin de faire les additions / divisions (par nombre de contenants) / multiplications (selon différents paramètres comme le taux de retour) / etc. vous-même ; 
- Comparer économiquement plusieurs solutions : si vous hésitez entre trois contenants, deux prestataires de consigne et deux lave-vaisselles, vous pourrez plus facilement vous décider en faisant tourner le modèle économique avec différentes hypothèses de coûts (précises et basées sur devis reçus).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</si>
</sst>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0\ &quot;€&quot;;[Red]\-#,##0\ &quot;€&quot;"/>
    <numFmt numFmtId="8" formatCode="#,##0.00\ &quot;€&quot;;[Red]\-#,##0.00\ &quot;€&quot;"/>
    <numFmt numFmtId="44" formatCode="_-* #,##0.00\ &quot;€&quot;_-;\-* #,##0.00\ &quot;€&quot;_-;_-* &quot;-&quot;??\ &quot;€&quot;_-;_-@_-"/>
    <numFmt numFmtId="43" formatCode="_-* #,##0.00_-;\-* #,##0.00_-;_-* &quot;-&quot;??_-;_-@_-"/>
    <numFmt numFmtId="164" formatCode="0.0"/>
    <numFmt numFmtId="165" formatCode="#,##0.0\ &quot;€&quot;;[Red]\-#,##0.0\ &quot;€&quot;"/>
    <numFmt numFmtId="166" formatCode="#,##0\ &quot;€&quot;"/>
    <numFmt numFmtId="167" formatCode="#,##0.0\ &quot;€&quot;"/>
    <numFmt numFmtId="168" formatCode="#,##0.000"/>
    <numFmt numFmtId="169" formatCode="#,##0.00\ &quot;€&quot;"/>
    <numFmt numFmtId="170" formatCode="_-* #,##0\ &quot;€&quot;_-;\-* #,##0\ &quot;€&quot;_-;_-* &quot;-&quot;??\ &quot;€&quot;_-;_-@_-"/>
  </numFmts>
  <fonts count="28"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11"/>
      <name val="Calibri"/>
      <family val="2"/>
      <scheme val="minor"/>
    </font>
    <font>
      <b/>
      <sz val="14"/>
      <name val="Calibri"/>
      <family val="2"/>
      <scheme val="minor"/>
    </font>
    <font>
      <b/>
      <sz val="11"/>
      <name val="Calibri"/>
      <family val="2"/>
      <scheme val="minor"/>
    </font>
    <font>
      <b/>
      <sz val="12"/>
      <name val="Calibri"/>
      <family val="2"/>
      <scheme val="minor"/>
    </font>
    <font>
      <i/>
      <sz val="11"/>
      <color theme="9" tint="-0.249977111117893"/>
      <name val="Calibri"/>
      <family val="2"/>
      <scheme val="minor"/>
    </font>
    <font>
      <b/>
      <i/>
      <sz val="11"/>
      <name val="Calibri"/>
      <family val="2"/>
      <scheme val="minor"/>
    </font>
    <font>
      <b/>
      <sz val="11"/>
      <color theme="0"/>
      <name val="Calibri"/>
      <family val="2"/>
      <scheme val="minor"/>
    </font>
    <font>
      <sz val="11"/>
      <color theme="0"/>
      <name val="Calibri"/>
      <family val="2"/>
      <scheme val="minor"/>
    </font>
    <font>
      <b/>
      <sz val="12"/>
      <color theme="0"/>
      <name val="Calibri"/>
      <family val="2"/>
      <scheme val="minor"/>
    </font>
    <font>
      <b/>
      <sz val="14"/>
      <color theme="0"/>
      <name val="Calibri"/>
      <family val="2"/>
      <scheme val="minor"/>
    </font>
    <font>
      <i/>
      <sz val="8"/>
      <color theme="1"/>
      <name val="Calibri"/>
      <family val="2"/>
      <scheme val="minor"/>
    </font>
    <font>
      <i/>
      <sz val="11"/>
      <name val="Calibri"/>
      <family val="2"/>
      <scheme val="minor"/>
    </font>
    <font>
      <b/>
      <i/>
      <sz val="11"/>
      <color theme="1"/>
      <name val="Calibri"/>
      <family val="2"/>
      <scheme val="minor"/>
    </font>
    <font>
      <u/>
      <sz val="11"/>
      <color theme="1"/>
      <name val="Calibri"/>
      <family val="2"/>
      <scheme val="minor"/>
    </font>
    <font>
      <b/>
      <sz val="11"/>
      <color rgb="FF002542"/>
      <name val="Calibri"/>
      <family val="2"/>
      <scheme val="minor"/>
    </font>
    <font>
      <sz val="11"/>
      <color rgb="FF002542"/>
      <name val="Calibri"/>
      <family val="2"/>
      <scheme val="minor"/>
    </font>
    <font>
      <i/>
      <sz val="9"/>
      <color theme="1"/>
      <name val="Calibri"/>
      <family val="2"/>
      <scheme val="minor"/>
    </font>
    <font>
      <sz val="10"/>
      <color theme="1"/>
      <name val="Calibri"/>
      <family val="2"/>
      <scheme val="minor"/>
    </font>
    <font>
      <b/>
      <i/>
      <sz val="8"/>
      <name val="Calibri"/>
      <family val="2"/>
      <scheme val="minor"/>
    </font>
    <font>
      <i/>
      <sz val="8"/>
      <name val="Calibri"/>
      <family val="2"/>
      <scheme val="minor"/>
    </font>
    <font>
      <b/>
      <i/>
      <sz val="8"/>
      <color theme="1"/>
      <name val="Calibri"/>
      <family val="2"/>
      <scheme val="minor"/>
    </font>
    <font>
      <i/>
      <sz val="10"/>
      <color theme="1"/>
      <name val="Calibri"/>
      <family val="2"/>
      <scheme val="minor"/>
    </font>
    <font>
      <i/>
      <sz val="1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0025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6" tint="0.79998168889431442"/>
        <bgColor indexed="64"/>
      </patternFill>
    </fill>
  </fills>
  <borders count="6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rgb="FF002542"/>
      </bottom>
      <diagonal/>
    </border>
    <border>
      <left style="thin">
        <color rgb="FF002542"/>
      </left>
      <right style="thin">
        <color rgb="FF002542"/>
      </right>
      <top style="thin">
        <color rgb="FF002542"/>
      </top>
      <bottom style="thin">
        <color rgb="FF002542"/>
      </bottom>
      <diagonal/>
    </border>
    <border>
      <left style="thin">
        <color rgb="FF002542"/>
      </left>
      <right/>
      <top style="thin">
        <color rgb="FF002542"/>
      </top>
      <bottom style="thin">
        <color rgb="FF002542"/>
      </bottom>
      <diagonal/>
    </border>
    <border>
      <left/>
      <right/>
      <top style="thin">
        <color rgb="FF002542"/>
      </top>
      <bottom style="thin">
        <color rgb="FF002542"/>
      </bottom>
      <diagonal/>
    </border>
    <border>
      <left/>
      <right style="thin">
        <color rgb="FF002542"/>
      </right>
      <top style="thin">
        <color rgb="FF002542"/>
      </top>
      <bottom style="thin">
        <color rgb="FF002542"/>
      </bottom>
      <diagonal/>
    </border>
    <border>
      <left style="thin">
        <color rgb="FF002542"/>
      </left>
      <right/>
      <top style="thin">
        <color rgb="FF002542"/>
      </top>
      <bottom/>
      <diagonal/>
    </border>
    <border>
      <left/>
      <right/>
      <top style="thin">
        <color rgb="FF002542"/>
      </top>
      <bottom/>
      <diagonal/>
    </border>
    <border>
      <left style="thin">
        <color rgb="FF002542"/>
      </left>
      <right/>
      <top/>
      <bottom style="thin">
        <color rgb="FF002542"/>
      </bottom>
      <diagonal/>
    </border>
    <border>
      <left style="thin">
        <color rgb="FF002542"/>
      </left>
      <right style="thin">
        <color indexed="64"/>
      </right>
      <top style="thin">
        <color rgb="FF002542"/>
      </top>
      <bottom/>
      <diagonal/>
    </border>
    <border>
      <left/>
      <right style="thin">
        <color indexed="64"/>
      </right>
      <top style="thin">
        <color rgb="FF002542"/>
      </top>
      <bottom/>
      <diagonal/>
    </border>
    <border>
      <left/>
      <right style="thin">
        <color rgb="FF002542"/>
      </right>
      <top style="thin">
        <color rgb="FF002542"/>
      </top>
      <bottom/>
      <diagonal/>
    </border>
    <border>
      <left style="thin">
        <color rgb="FF002542"/>
      </left>
      <right style="thin">
        <color indexed="64"/>
      </right>
      <top style="thin">
        <color indexed="64"/>
      </top>
      <bottom/>
      <diagonal/>
    </border>
    <border>
      <left style="thin">
        <color indexed="64"/>
      </left>
      <right style="thin">
        <color rgb="FF002542"/>
      </right>
      <top style="thin">
        <color indexed="64"/>
      </top>
      <bottom/>
      <diagonal/>
    </border>
    <border>
      <left style="thin">
        <color rgb="FF002542"/>
      </left>
      <right style="thin">
        <color indexed="64"/>
      </right>
      <top/>
      <bottom/>
      <diagonal/>
    </border>
    <border>
      <left style="thin">
        <color indexed="64"/>
      </left>
      <right style="thin">
        <color rgb="FF002542"/>
      </right>
      <top/>
      <bottom/>
      <diagonal/>
    </border>
    <border>
      <left style="thin">
        <color rgb="FF002542"/>
      </left>
      <right style="thin">
        <color indexed="64"/>
      </right>
      <top/>
      <bottom style="thin">
        <color indexed="64"/>
      </bottom>
      <diagonal/>
    </border>
    <border>
      <left style="thin">
        <color indexed="64"/>
      </left>
      <right style="thin">
        <color rgb="FF002542"/>
      </right>
      <top/>
      <bottom style="thin">
        <color indexed="64"/>
      </bottom>
      <diagonal/>
    </border>
    <border>
      <left/>
      <right style="thin">
        <color rgb="FF002542"/>
      </right>
      <top/>
      <bottom/>
      <diagonal/>
    </border>
    <border>
      <left/>
      <right style="thin">
        <color rgb="FF002542"/>
      </right>
      <top/>
      <bottom style="thin">
        <color indexed="64"/>
      </bottom>
      <diagonal/>
    </border>
    <border>
      <left style="thin">
        <color rgb="FF002542"/>
      </left>
      <right style="thin">
        <color indexed="64"/>
      </right>
      <top/>
      <bottom style="thin">
        <color rgb="FF002542"/>
      </bottom>
      <diagonal/>
    </border>
    <border>
      <left/>
      <right style="thin">
        <color rgb="FF002542"/>
      </right>
      <top/>
      <bottom style="thin">
        <color rgb="FF002542"/>
      </bottom>
      <diagonal/>
    </border>
    <border>
      <left style="thin">
        <color rgb="FF002542"/>
      </left>
      <right/>
      <top/>
      <bottom/>
      <diagonal/>
    </border>
    <border>
      <left style="thin">
        <color rgb="FF002542"/>
      </left>
      <right style="thin">
        <color rgb="FF002542"/>
      </right>
      <top/>
      <bottom/>
      <diagonal/>
    </border>
    <border>
      <left style="thin">
        <color rgb="FF002542"/>
      </left>
      <right style="thin">
        <color rgb="FF002542"/>
      </right>
      <top/>
      <bottom style="thin">
        <color rgb="FF002542"/>
      </bottom>
      <diagonal/>
    </border>
    <border>
      <left style="thin">
        <color indexed="64"/>
      </left>
      <right/>
      <top style="thin">
        <color rgb="FF002542"/>
      </top>
      <bottom/>
      <diagonal/>
    </border>
    <border>
      <left style="thin">
        <color indexed="64"/>
      </left>
      <right/>
      <top/>
      <bottom style="thin">
        <color rgb="FF002542"/>
      </bottom>
      <diagonal/>
    </border>
    <border>
      <left style="thin">
        <color rgb="FF002542"/>
      </left>
      <right style="thin">
        <color rgb="FF002542"/>
      </right>
      <top style="thin">
        <color rgb="FF002542"/>
      </top>
      <bottom/>
      <diagonal/>
    </border>
    <border>
      <left style="thin">
        <color rgb="FF002542"/>
      </left>
      <right style="thin">
        <color indexed="64"/>
      </right>
      <top style="thin">
        <color rgb="FF002542"/>
      </top>
      <bottom style="thin">
        <color rgb="FF002542"/>
      </bottom>
      <diagonal/>
    </border>
    <border>
      <left style="thin">
        <color rgb="FF002542"/>
      </left>
      <right/>
      <top style="thin">
        <color rgb="FF002542"/>
      </top>
      <bottom style="thin">
        <color indexed="64"/>
      </bottom>
      <diagonal/>
    </border>
    <border>
      <left style="thin">
        <color indexed="64"/>
      </left>
      <right/>
      <top style="thin">
        <color indexed="64"/>
      </top>
      <bottom style="thin">
        <color rgb="FF002542"/>
      </bottom>
      <diagonal/>
    </border>
    <border>
      <left/>
      <right/>
      <top style="thin">
        <color indexed="64"/>
      </top>
      <bottom style="thin">
        <color rgb="FF002542"/>
      </bottom>
      <diagonal/>
    </border>
    <border>
      <left/>
      <right style="thin">
        <color rgb="FF002542"/>
      </right>
      <top style="thin">
        <color indexed="64"/>
      </top>
      <bottom style="thin">
        <color rgb="FF002542"/>
      </bottom>
      <diagonal/>
    </border>
    <border>
      <left/>
      <right style="thin">
        <color rgb="FF002542"/>
      </right>
      <top style="thin">
        <color rgb="FF002542"/>
      </top>
      <bottom style="thin">
        <color indexed="64"/>
      </bottom>
      <diagonal/>
    </border>
    <border>
      <left style="thin">
        <color rgb="FF002542"/>
      </left>
      <right/>
      <top style="thin">
        <color indexed="64"/>
      </top>
      <bottom style="thin">
        <color rgb="FF002542"/>
      </bottom>
      <diagonal/>
    </border>
    <border>
      <left style="thin">
        <color rgb="FF002542"/>
      </left>
      <right/>
      <top style="thin">
        <color indexed="64"/>
      </top>
      <bottom style="thin">
        <color indexed="64"/>
      </bottom>
      <diagonal/>
    </border>
    <border>
      <left/>
      <right style="thin">
        <color rgb="FF002542"/>
      </right>
      <top style="thin">
        <color indexed="64"/>
      </top>
      <bottom style="thin">
        <color indexed="64"/>
      </bottom>
      <diagonal/>
    </border>
    <border>
      <left/>
      <right style="thin">
        <color indexed="64"/>
      </right>
      <top style="thin">
        <color indexed="64"/>
      </top>
      <bottom style="thin">
        <color rgb="FF002542"/>
      </bottom>
      <diagonal/>
    </border>
    <border>
      <left style="thin">
        <color indexed="64"/>
      </left>
      <right/>
      <top style="thin">
        <color rgb="FF002542"/>
      </top>
      <bottom style="thin">
        <color rgb="FF002542"/>
      </bottom>
      <diagonal/>
    </border>
    <border>
      <left/>
      <right style="thin">
        <color indexed="64"/>
      </right>
      <top style="thin">
        <color rgb="FF002542"/>
      </top>
      <bottom style="thin">
        <color rgb="FF002542"/>
      </bottom>
      <diagonal/>
    </border>
    <border>
      <left style="thin">
        <color indexed="64"/>
      </left>
      <right/>
      <top style="thin">
        <color rgb="FF002542"/>
      </top>
      <bottom style="thin">
        <color indexed="64"/>
      </bottom>
      <diagonal/>
    </border>
    <border>
      <left style="thin">
        <color rgb="FF002542"/>
      </left>
      <right style="thin">
        <color indexed="64"/>
      </right>
      <top style="thin">
        <color rgb="FF002542"/>
      </top>
      <bottom style="thin">
        <color indexed="64"/>
      </bottom>
      <diagonal/>
    </border>
    <border>
      <left/>
      <right style="thin">
        <color rgb="FF002542"/>
      </right>
      <top style="thin">
        <color indexed="64"/>
      </top>
      <bottom/>
      <diagonal/>
    </border>
    <border>
      <left/>
      <right/>
      <top style="thin">
        <color rgb="FF002542"/>
      </top>
      <bottom style="thin">
        <color indexed="64"/>
      </bottom>
      <diagonal/>
    </border>
    <border>
      <left/>
      <right style="thin">
        <color indexed="64"/>
      </right>
      <top style="thin">
        <color rgb="FF002542"/>
      </top>
      <bottom style="thin">
        <color indexed="64"/>
      </bottom>
      <diagonal/>
    </border>
  </borders>
  <cellStyleXfs count="5">
    <xf numFmtId="0" fontId="0" fillId="0" borderId="0"/>
    <xf numFmtId="44" fontId="1" fillId="0" borderId="0" applyFon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98">
    <xf numFmtId="0" fontId="0" fillId="0" borderId="0" xfId="0"/>
    <xf numFmtId="0" fontId="0" fillId="2" borderId="0" xfId="0" applyFill="1"/>
    <xf numFmtId="0" fontId="0" fillId="2" borderId="1" xfId="0" applyFill="1" applyBorder="1"/>
    <xf numFmtId="0" fontId="0" fillId="2" borderId="3" xfId="0" applyFill="1" applyBorder="1"/>
    <xf numFmtId="0" fontId="0" fillId="2" borderId="2" xfId="0" applyFill="1" applyBorder="1"/>
    <xf numFmtId="0" fontId="0" fillId="2" borderId="0" xfId="0" applyFill="1" applyAlignment="1">
      <alignment horizontal="center" vertical="center"/>
    </xf>
    <xf numFmtId="3" fontId="0" fillId="2" borderId="0" xfId="0" applyNumberFormat="1" applyFill="1" applyAlignment="1">
      <alignment horizontal="center" vertical="center"/>
    </xf>
    <xf numFmtId="166" fontId="0" fillId="2" borderId="0" xfId="0" applyNumberFormat="1" applyFill="1" applyAlignment="1">
      <alignment horizontal="center" vertical="center"/>
    </xf>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3" fontId="0" fillId="4" borderId="3" xfId="0" applyNumberFormat="1" applyFill="1" applyBorder="1" applyAlignment="1">
      <alignment horizontal="left" vertical="center"/>
    </xf>
    <xf numFmtId="0" fontId="3" fillId="2" borderId="8" xfId="2" applyFill="1" applyBorder="1" applyAlignment="1">
      <alignment vertical="center"/>
    </xf>
    <xf numFmtId="0" fontId="0" fillId="2" borderId="6" xfId="0" applyFill="1" applyBorder="1" applyAlignment="1">
      <alignment horizontal="center"/>
    </xf>
    <xf numFmtId="0" fontId="0" fillId="2" borderId="7" xfId="0" applyFill="1" applyBorder="1" applyAlignment="1">
      <alignment horizontal="center"/>
    </xf>
    <xf numFmtId="0" fontId="0" fillId="2" borderId="9" xfId="0"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0" fontId="0" fillId="0" borderId="6" xfId="0" applyBorder="1"/>
    <xf numFmtId="0" fontId="0" fillId="0" borderId="7"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5" borderId="10" xfId="0" applyFill="1" applyBorder="1"/>
    <xf numFmtId="0" fontId="0" fillId="5" borderId="0" xfId="0" applyFill="1"/>
    <xf numFmtId="9" fontId="0" fillId="5" borderId="10" xfId="4" applyFont="1" applyFill="1" applyBorder="1"/>
    <xf numFmtId="9" fontId="0" fillId="5" borderId="10" xfId="0" applyNumberFormat="1" applyFill="1" applyBorder="1"/>
    <xf numFmtId="0" fontId="6" fillId="0" borderId="0" xfId="0" applyFont="1" applyAlignment="1">
      <alignment horizontal="center" vertical="center"/>
    </xf>
    <xf numFmtId="0" fontId="0" fillId="0" borderId="15" xfId="0" applyBorder="1"/>
    <xf numFmtId="0" fontId="9" fillId="2" borderId="0" xfId="0" applyFont="1" applyFill="1"/>
    <xf numFmtId="15" fontId="9" fillId="2" borderId="0" xfId="0" applyNumberFormat="1" applyFont="1" applyFill="1"/>
    <xf numFmtId="0" fontId="5" fillId="5" borderId="0" xfId="0" applyFont="1" applyFill="1"/>
    <xf numFmtId="0" fontId="5" fillId="0" borderId="12" xfId="0" applyFont="1" applyBorder="1"/>
    <xf numFmtId="0" fontId="5" fillId="0" borderId="7" xfId="0" applyFont="1" applyBorder="1"/>
    <xf numFmtId="0" fontId="0" fillId="0" borderId="14" xfId="0" applyBorder="1"/>
    <xf numFmtId="1" fontId="0" fillId="0" borderId="15" xfId="0" applyNumberFormat="1" applyBorder="1"/>
    <xf numFmtId="0" fontId="3" fillId="2" borderId="6" xfId="2" applyFill="1" applyBorder="1"/>
    <xf numFmtId="0" fontId="0" fillId="5" borderId="13" xfId="0" applyFill="1" applyBorder="1"/>
    <xf numFmtId="0" fontId="5" fillId="5" borderId="15" xfId="0" applyFont="1" applyFill="1" applyBorder="1"/>
    <xf numFmtId="0" fontId="0" fillId="0" borderId="0" xfId="0" applyAlignment="1">
      <alignment horizontal="left"/>
    </xf>
    <xf numFmtId="3" fontId="0" fillId="0" borderId="0" xfId="0" applyNumberFormat="1" applyAlignment="1">
      <alignment horizontal="right" vertical="center"/>
    </xf>
    <xf numFmtId="3" fontId="0" fillId="0" borderId="0" xfId="0" applyNumberFormat="1" applyAlignment="1">
      <alignment horizontal="left" vertical="center"/>
    </xf>
    <xf numFmtId="167" fontId="5" fillId="5" borderId="14" xfId="2" applyNumberFormat="1" applyFont="1" applyFill="1" applyBorder="1" applyAlignment="1">
      <alignment horizontal="center" vertical="center"/>
    </xf>
    <xf numFmtId="3" fontId="5" fillId="2" borderId="15" xfId="2" applyNumberFormat="1" applyFont="1" applyFill="1" applyBorder="1" applyAlignment="1">
      <alignment horizontal="center" vertical="center"/>
    </xf>
    <xf numFmtId="0" fontId="5" fillId="0" borderId="11" xfId="0" applyFont="1" applyBorder="1"/>
    <xf numFmtId="0" fontId="5" fillId="0" borderId="6" xfId="0" applyFont="1" applyBorder="1"/>
    <xf numFmtId="166" fontId="0" fillId="3" borderId="14" xfId="0" applyNumberFormat="1" applyFill="1" applyBorder="1" applyAlignment="1">
      <alignment horizontal="center"/>
    </xf>
    <xf numFmtId="167" fontId="5" fillId="5" borderId="15" xfId="1" applyNumberFormat="1" applyFont="1" applyFill="1" applyBorder="1" applyAlignment="1">
      <alignment horizontal="center" vertical="center"/>
    </xf>
    <xf numFmtId="166" fontId="0" fillId="0" borderId="5" xfId="0" applyNumberFormat="1" applyBorder="1" applyAlignment="1">
      <alignment horizontal="center"/>
    </xf>
    <xf numFmtId="0" fontId="0" fillId="5" borderId="14" xfId="3" applyNumberFormat="1" applyFont="1" applyFill="1" applyBorder="1" applyAlignment="1">
      <alignment horizontal="center"/>
    </xf>
    <xf numFmtId="0" fontId="8" fillId="0" borderId="0" xfId="0" applyFont="1" applyAlignment="1">
      <alignment vertical="center"/>
    </xf>
    <xf numFmtId="0" fontId="13" fillId="6" borderId="1" xfId="0" applyFont="1" applyFill="1" applyBorder="1" applyAlignment="1">
      <alignment vertical="center"/>
    </xf>
    <xf numFmtId="0" fontId="13" fillId="6" borderId="2" xfId="0" applyFont="1" applyFill="1" applyBorder="1" applyAlignment="1">
      <alignment vertical="center"/>
    </xf>
    <xf numFmtId="0" fontId="13" fillId="6" borderId="3" xfId="0" applyFont="1" applyFill="1" applyBorder="1" applyAlignment="1">
      <alignment vertical="center"/>
    </xf>
    <xf numFmtId="0" fontId="0" fillId="0" borderId="8" xfId="0" applyBorder="1"/>
    <xf numFmtId="0" fontId="0" fillId="0" borderId="16" xfId="0" applyBorder="1"/>
    <xf numFmtId="0" fontId="3" fillId="0" borderId="0" xfId="2" quotePrefix="1" applyBorder="1"/>
    <xf numFmtId="0" fontId="13" fillId="6" borderId="18" xfId="0" applyFont="1" applyFill="1" applyBorder="1" applyAlignment="1">
      <alignment vertical="center"/>
    </xf>
    <xf numFmtId="0" fontId="13" fillId="6" borderId="19" xfId="0" applyFont="1" applyFill="1" applyBorder="1" applyAlignment="1">
      <alignment horizontal="center" vertical="center"/>
    </xf>
    <xf numFmtId="0" fontId="14" fillId="6" borderId="19" xfId="0" applyFont="1" applyFill="1" applyBorder="1" applyAlignment="1">
      <alignment horizontal="center" vertical="center"/>
    </xf>
    <xf numFmtId="0" fontId="12" fillId="6" borderId="19" xfId="0" applyFont="1" applyFill="1" applyBorder="1"/>
    <xf numFmtId="0" fontId="12" fillId="6" borderId="20" xfId="0" applyFont="1" applyFill="1" applyBorder="1"/>
    <xf numFmtId="0" fontId="7" fillId="7" borderId="1" xfId="0" applyFont="1" applyFill="1" applyBorder="1" applyAlignment="1">
      <alignment vertical="center"/>
    </xf>
    <xf numFmtId="0" fontId="5" fillId="7" borderId="2" xfId="0" applyFont="1" applyFill="1" applyBorder="1" applyAlignment="1">
      <alignment vertical="center"/>
    </xf>
    <xf numFmtId="0" fontId="5" fillId="7" borderId="3" xfId="0" applyFont="1" applyFill="1" applyBorder="1" applyAlignment="1">
      <alignment vertical="center"/>
    </xf>
    <xf numFmtId="0" fontId="0" fillId="0" borderId="21" xfId="0" applyBorder="1"/>
    <xf numFmtId="0" fontId="0" fillId="0" borderId="22" xfId="0" applyBorder="1"/>
    <xf numFmtId="0" fontId="0" fillId="0" borderId="23" xfId="0" applyBorder="1"/>
    <xf numFmtId="0" fontId="5" fillId="7" borderId="24" xfId="0" applyFont="1" applyFill="1" applyBorder="1" applyAlignment="1">
      <alignment horizontal="center"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0" borderId="29" xfId="0" applyBorder="1"/>
    <xf numFmtId="0" fontId="0" fillId="0" borderId="30" xfId="0" applyBorder="1"/>
    <xf numFmtId="9" fontId="0" fillId="5" borderId="29" xfId="4" applyFont="1" applyFill="1" applyBorder="1"/>
    <xf numFmtId="9" fontId="0" fillId="5" borderId="33" xfId="4" applyFont="1" applyFill="1" applyBorder="1"/>
    <xf numFmtId="9" fontId="0" fillId="5" borderId="29" xfId="0" applyNumberFormat="1" applyFill="1" applyBorder="1"/>
    <xf numFmtId="9" fontId="0" fillId="5" borderId="33" xfId="0" applyNumberFormat="1" applyFill="1" applyBorder="1"/>
    <xf numFmtId="0" fontId="0" fillId="5" borderId="29" xfId="0" applyFill="1" applyBorder="1"/>
    <xf numFmtId="0" fontId="0" fillId="5" borderId="33" xfId="0" applyFill="1" applyBorder="1"/>
    <xf numFmtId="0" fontId="0" fillId="0" borderId="35" xfId="0" applyBorder="1"/>
    <xf numFmtId="0" fontId="0" fillId="0" borderId="26" xfId="0" applyBorder="1"/>
    <xf numFmtId="0" fontId="0" fillId="0" borderId="37" xfId="0" applyBorder="1"/>
    <xf numFmtId="0" fontId="0" fillId="0" borderId="33" xfId="0" applyBorder="1"/>
    <xf numFmtId="0" fontId="0" fillId="0" borderId="36" xfId="0" applyBorder="1"/>
    <xf numFmtId="0" fontId="0" fillId="0" borderId="18" xfId="0" applyBorder="1"/>
    <xf numFmtId="0" fontId="0" fillId="0" borderId="19" xfId="0" applyBorder="1"/>
    <xf numFmtId="0" fontId="0" fillId="0" borderId="20" xfId="0" applyBorder="1"/>
    <xf numFmtId="0" fontId="0" fillId="5" borderId="29" xfId="0" applyFill="1" applyBorder="1" applyAlignment="1">
      <alignment horizontal="right" vertical="center"/>
    </xf>
    <xf numFmtId="0" fontId="0" fillId="5" borderId="15" xfId="0" applyFill="1" applyBorder="1" applyAlignment="1">
      <alignment horizontal="right" vertical="center"/>
    </xf>
    <xf numFmtId="0" fontId="5" fillId="5" borderId="5" xfId="0" applyFont="1" applyFill="1" applyBorder="1" applyAlignment="1">
      <alignment horizontal="right" vertical="center"/>
    </xf>
    <xf numFmtId="165" fontId="0" fillId="5" borderId="3" xfId="0" applyNumberFormat="1" applyFill="1" applyBorder="1" applyAlignment="1">
      <alignment horizontal="right" vertical="center"/>
    </xf>
    <xf numFmtId="165" fontId="0" fillId="5" borderId="4" xfId="0" applyNumberFormat="1" applyFill="1" applyBorder="1" applyAlignment="1">
      <alignment horizontal="right" vertical="center"/>
    </xf>
    <xf numFmtId="0" fontId="0" fillId="2" borderId="33" xfId="0" applyFill="1" applyBorder="1"/>
    <xf numFmtId="164" fontId="0" fillId="0" borderId="29" xfId="0" applyNumberFormat="1" applyBorder="1"/>
    <xf numFmtId="164" fontId="0" fillId="0" borderId="10" xfId="0" applyNumberFormat="1" applyBorder="1"/>
    <xf numFmtId="164" fontId="0" fillId="0" borderId="33" xfId="0" applyNumberFormat="1" applyBorder="1"/>
    <xf numFmtId="0" fontId="0" fillId="2" borderId="24" xfId="0" applyFill="1" applyBorder="1"/>
    <xf numFmtId="0" fontId="0" fillId="2" borderId="26" xfId="0" applyFill="1" applyBorder="1"/>
    <xf numFmtId="9" fontId="0" fillId="5" borderId="38" xfId="0" applyNumberFormat="1" applyFill="1" applyBorder="1"/>
    <xf numFmtId="0" fontId="5" fillId="0" borderId="37" xfId="0" applyFont="1" applyBorder="1" applyAlignment="1">
      <alignment horizontal="left"/>
    </xf>
    <xf numFmtId="164" fontId="0" fillId="0" borderId="40" xfId="0" applyNumberFormat="1" applyBorder="1" applyAlignment="1">
      <alignment horizontal="center"/>
    </xf>
    <xf numFmtId="164" fontId="0" fillId="2" borderId="9" xfId="0" applyNumberFormat="1" applyFill="1" applyBorder="1" applyAlignment="1">
      <alignment horizontal="center"/>
    </xf>
    <xf numFmtId="164" fontId="0" fillId="2" borderId="41" xfId="0" applyNumberFormat="1" applyFill="1" applyBorder="1" applyAlignment="1">
      <alignment horizontal="center"/>
    </xf>
    <xf numFmtId="1" fontId="0" fillId="7" borderId="19" xfId="0" applyNumberFormat="1" applyFill="1" applyBorder="1" applyAlignment="1">
      <alignment horizontal="center"/>
    </xf>
    <xf numFmtId="0" fontId="0" fillId="7" borderId="22" xfId="0" applyFill="1" applyBorder="1" applyAlignment="1">
      <alignment horizontal="center" vertical="center" wrapText="1"/>
    </xf>
    <xf numFmtId="0" fontId="0" fillId="7" borderId="42" xfId="0" applyFill="1" applyBorder="1" applyAlignment="1">
      <alignment horizontal="center" vertical="center" wrapText="1"/>
    </xf>
    <xf numFmtId="164" fontId="0" fillId="0" borderId="42" xfId="0" applyNumberFormat="1" applyBorder="1" applyAlignment="1">
      <alignment horizontal="center"/>
    </xf>
    <xf numFmtId="164" fontId="0" fillId="2" borderId="38" xfId="0" applyNumberFormat="1" applyFill="1" applyBorder="1" applyAlignment="1">
      <alignment horizontal="center"/>
    </xf>
    <xf numFmtId="164" fontId="0" fillId="2" borderId="39" xfId="0" applyNumberFormat="1" applyFill="1" applyBorder="1" applyAlignment="1">
      <alignment horizontal="center"/>
    </xf>
    <xf numFmtId="1" fontId="0" fillId="7" borderId="17" xfId="0" applyNumberFormat="1" applyFill="1" applyBorder="1" applyAlignment="1">
      <alignment horizontal="center"/>
    </xf>
    <xf numFmtId="166" fontId="0" fillId="0" borderId="0" xfId="0" applyNumberFormat="1" applyAlignment="1">
      <alignment horizontal="center"/>
    </xf>
    <xf numFmtId="0" fontId="0" fillId="0" borderId="0" xfId="0" applyAlignment="1">
      <alignment horizontal="right"/>
    </xf>
    <xf numFmtId="0" fontId="2" fillId="7" borderId="43" xfId="0" applyFont="1" applyFill="1" applyBorder="1" applyAlignment="1">
      <alignment horizontal="left" vertical="center"/>
    </xf>
    <xf numFmtId="0" fontId="0" fillId="7" borderId="19" xfId="0" applyFill="1" applyBorder="1"/>
    <xf numFmtId="0" fontId="0" fillId="7" borderId="20" xfId="0" applyFill="1" applyBorder="1"/>
    <xf numFmtId="3" fontId="0" fillId="5" borderId="17" xfId="0" applyNumberFormat="1" applyFill="1" applyBorder="1" applyAlignment="1">
      <alignment horizontal="center" vertical="center"/>
    </xf>
    <xf numFmtId="0" fontId="0" fillId="7" borderId="17" xfId="0" applyFill="1" applyBorder="1" applyAlignment="1">
      <alignment horizontal="center"/>
    </xf>
    <xf numFmtId="0" fontId="0" fillId="0" borderId="42" xfId="0" applyBorder="1"/>
    <xf numFmtId="0" fontId="0" fillId="0" borderId="39" xfId="0" applyBorder="1"/>
    <xf numFmtId="0" fontId="0" fillId="0" borderId="38" xfId="0" applyBorder="1"/>
    <xf numFmtId="0" fontId="5" fillId="5" borderId="13" xfId="0" applyFont="1" applyFill="1" applyBorder="1" applyAlignment="1">
      <alignment horizontal="right" vertical="center"/>
    </xf>
    <xf numFmtId="0" fontId="5" fillId="5" borderId="29" xfId="0" applyFont="1" applyFill="1" applyBorder="1" applyAlignment="1">
      <alignment horizontal="right" vertical="center"/>
    </xf>
    <xf numFmtId="0" fontId="5" fillId="5" borderId="15" xfId="0" applyFont="1" applyFill="1" applyBorder="1" applyAlignment="1">
      <alignment horizontal="right" vertical="center"/>
    </xf>
    <xf numFmtId="0" fontId="2" fillId="7" borderId="19" xfId="0" applyFont="1" applyFill="1" applyBorder="1"/>
    <xf numFmtId="0" fontId="0" fillId="7" borderId="23" xfId="0" applyFill="1" applyBorder="1" applyAlignment="1">
      <alignment horizontal="right"/>
    </xf>
    <xf numFmtId="3" fontId="0" fillId="7" borderId="16" xfId="0" applyNumberFormat="1" applyFill="1" applyBorder="1" applyAlignment="1">
      <alignment horizontal="right" vertical="center"/>
    </xf>
    <xf numFmtId="0" fontId="2" fillId="7" borderId="16" xfId="0" applyFont="1" applyFill="1" applyBorder="1" applyAlignment="1">
      <alignment horizontal="right"/>
    </xf>
    <xf numFmtId="0" fontId="0" fillId="0" borderId="22" xfId="0" applyBorder="1" applyAlignment="1">
      <alignment horizontal="right"/>
    </xf>
    <xf numFmtId="166" fontId="2" fillId="7" borderId="39" xfId="0" applyNumberFormat="1" applyFont="1" applyFill="1" applyBorder="1" applyAlignment="1">
      <alignment horizontal="right"/>
    </xf>
    <xf numFmtId="166" fontId="2" fillId="7" borderId="36" xfId="0" applyNumberFormat="1" applyFont="1" applyFill="1" applyBorder="1" applyAlignment="1">
      <alignment horizontal="right"/>
    </xf>
    <xf numFmtId="0" fontId="2" fillId="7" borderId="42" xfId="0" applyFont="1" applyFill="1" applyBorder="1" applyAlignment="1">
      <alignment horizontal="center" vertical="center" wrapText="1"/>
    </xf>
    <xf numFmtId="0" fontId="2" fillId="7" borderId="26" xfId="0" applyFont="1" applyFill="1" applyBorder="1" applyAlignment="1">
      <alignment horizontal="center" vertical="center" wrapText="1"/>
    </xf>
    <xf numFmtId="0" fontId="2" fillId="8" borderId="26" xfId="0" applyFont="1" applyFill="1" applyBorder="1" applyAlignment="1">
      <alignment horizontal="center" vertical="center" wrapText="1"/>
    </xf>
    <xf numFmtId="0" fontId="11" fillId="8" borderId="22" xfId="0" applyFont="1" applyFill="1" applyBorder="1" applyAlignment="1">
      <alignment horizontal="left" vertical="center" wrapText="1"/>
    </xf>
    <xf numFmtId="0" fontId="0" fillId="8" borderId="22" xfId="0" applyFill="1" applyBorder="1" applyAlignment="1">
      <alignment horizontal="center" vertical="center" wrapText="1"/>
    </xf>
    <xf numFmtId="166" fontId="0" fillId="0" borderId="33" xfId="0" applyNumberFormat="1" applyBorder="1" applyAlignment="1">
      <alignment horizontal="center"/>
    </xf>
    <xf numFmtId="0" fontId="10" fillId="8" borderId="21" xfId="0" applyFont="1" applyFill="1" applyBorder="1" applyAlignment="1">
      <alignment horizontal="left" vertical="center"/>
    </xf>
    <xf numFmtId="0" fontId="2" fillId="2" borderId="37" xfId="0" applyFont="1" applyFill="1" applyBorder="1"/>
    <xf numFmtId="0" fontId="2" fillId="2" borderId="0" xfId="0" applyFont="1" applyFill="1"/>
    <xf numFmtId="0" fontId="2" fillId="2" borderId="23" xfId="0" applyFont="1" applyFill="1" applyBorder="1"/>
    <xf numFmtId="0" fontId="2" fillId="2" borderId="16" xfId="0" applyFont="1" applyFill="1" applyBorder="1"/>
    <xf numFmtId="164" fontId="11" fillId="6" borderId="42" xfId="0" applyNumberFormat="1" applyFont="1" applyFill="1" applyBorder="1" applyAlignment="1">
      <alignment horizontal="center"/>
    </xf>
    <xf numFmtId="164" fontId="11" fillId="6" borderId="26" xfId="0" applyNumberFormat="1" applyFont="1" applyFill="1" applyBorder="1" applyAlignment="1">
      <alignment horizontal="center"/>
    </xf>
    <xf numFmtId="0" fontId="0" fillId="9" borderId="23" xfId="0" applyFill="1" applyBorder="1"/>
    <xf numFmtId="0" fontId="0" fillId="9" borderId="16" xfId="0" applyFill="1" applyBorder="1"/>
    <xf numFmtId="0" fontId="0" fillId="9" borderId="36" xfId="0" applyFill="1" applyBorder="1" applyAlignment="1">
      <alignment horizontal="right"/>
    </xf>
    <xf numFmtId="0" fontId="7" fillId="9" borderId="17" xfId="0" applyFont="1" applyFill="1" applyBorder="1" applyAlignment="1">
      <alignment horizontal="center"/>
    </xf>
    <xf numFmtId="0" fontId="0" fillId="6" borderId="0" xfId="0" applyFill="1"/>
    <xf numFmtId="0" fontId="0" fillId="6" borderId="0" xfId="0" applyFill="1" applyAlignment="1">
      <alignment horizontal="right"/>
    </xf>
    <xf numFmtId="0" fontId="11" fillId="6" borderId="37" xfId="0" applyFont="1" applyFill="1" applyBorder="1"/>
    <xf numFmtId="0" fontId="11" fillId="6" borderId="18" xfId="0" applyFont="1" applyFill="1" applyBorder="1"/>
    <xf numFmtId="0" fontId="0" fillId="6" borderId="19" xfId="0" applyFill="1" applyBorder="1"/>
    <xf numFmtId="0" fontId="11" fillId="6" borderId="18" xfId="0" applyFont="1" applyFill="1" applyBorder="1" applyAlignment="1">
      <alignment horizontal="right"/>
    </xf>
    <xf numFmtId="0" fontId="11" fillId="6" borderId="20" xfId="0" applyFont="1" applyFill="1" applyBorder="1" applyAlignment="1">
      <alignment horizontal="right"/>
    </xf>
    <xf numFmtId="164" fontId="0" fillId="0" borderId="0" xfId="0" applyNumberFormat="1"/>
    <xf numFmtId="0" fontId="5" fillId="8" borderId="21" xfId="0" applyFont="1" applyFill="1" applyBorder="1" applyAlignment="1">
      <alignment horizontal="center" vertical="center" wrapText="1"/>
    </xf>
    <xf numFmtId="166" fontId="0" fillId="0" borderId="37" xfId="0" applyNumberFormat="1" applyBorder="1" applyAlignment="1">
      <alignment horizontal="center"/>
    </xf>
    <xf numFmtId="0" fontId="0" fillId="7" borderId="21" xfId="0" applyFill="1" applyBorder="1" applyAlignment="1">
      <alignment horizontal="center" vertical="center" wrapText="1"/>
    </xf>
    <xf numFmtId="164" fontId="0" fillId="0" borderId="21" xfId="0" applyNumberFormat="1" applyBorder="1" applyAlignment="1">
      <alignment horizontal="center"/>
    </xf>
    <xf numFmtId="164" fontId="0" fillId="2" borderId="37" xfId="0" applyNumberFormat="1" applyFill="1" applyBorder="1" applyAlignment="1">
      <alignment horizontal="center"/>
    </xf>
    <xf numFmtId="1" fontId="0" fillId="7" borderId="18" xfId="0" applyNumberFormat="1" applyFill="1" applyBorder="1" applyAlignment="1">
      <alignment horizontal="center"/>
    </xf>
    <xf numFmtId="0" fontId="0" fillId="2" borderId="36" xfId="0" applyFill="1" applyBorder="1" applyAlignment="1">
      <alignment horizontal="right"/>
    </xf>
    <xf numFmtId="164" fontId="7" fillId="2" borderId="17" xfId="0" applyNumberFormat="1" applyFont="1" applyFill="1" applyBorder="1" applyAlignment="1">
      <alignment horizontal="center"/>
    </xf>
    <xf numFmtId="0" fontId="4" fillId="0" borderId="18" xfId="0" applyFont="1" applyBorder="1"/>
    <xf numFmtId="0" fontId="4" fillId="0" borderId="19" xfId="0" applyFont="1" applyBorder="1"/>
    <xf numFmtId="3" fontId="0" fillId="0" borderId="37" xfId="0" applyNumberFormat="1" applyBorder="1" applyAlignment="1">
      <alignment horizontal="center"/>
    </xf>
    <xf numFmtId="3" fontId="0" fillId="0" borderId="0" xfId="0" applyNumberFormat="1" applyAlignment="1">
      <alignment horizontal="center"/>
    </xf>
    <xf numFmtId="3" fontId="0" fillId="0" borderId="33" xfId="0" applyNumberFormat="1" applyBorder="1" applyAlignment="1">
      <alignment horizontal="center"/>
    </xf>
    <xf numFmtId="0" fontId="0" fillId="5" borderId="17" xfId="0" applyFill="1" applyBorder="1"/>
    <xf numFmtId="0" fontId="4" fillId="0" borderId="0" xfId="0" applyFont="1"/>
    <xf numFmtId="166" fontId="0" fillId="4" borderId="21" xfId="0" applyNumberFormat="1" applyFill="1" applyBorder="1" applyAlignment="1">
      <alignment horizontal="right"/>
    </xf>
    <xf numFmtId="166" fontId="0" fillId="4" borderId="26" xfId="0" applyNumberFormat="1" applyFill="1" applyBorder="1" applyAlignment="1">
      <alignment horizontal="right"/>
    </xf>
    <xf numFmtId="166" fontId="0" fillId="4" borderId="18" xfId="0" applyNumberFormat="1" applyFill="1" applyBorder="1"/>
    <xf numFmtId="169" fontId="4" fillId="4" borderId="18" xfId="0" applyNumberFormat="1" applyFont="1" applyFill="1" applyBorder="1"/>
    <xf numFmtId="169" fontId="4" fillId="4" borderId="20" xfId="0" applyNumberFormat="1" applyFont="1" applyFill="1" applyBorder="1"/>
    <xf numFmtId="166" fontId="2" fillId="4" borderId="36" xfId="0" applyNumberFormat="1" applyFont="1" applyFill="1" applyBorder="1" applyAlignment="1">
      <alignment horizontal="right"/>
    </xf>
    <xf numFmtId="166" fontId="2" fillId="4" borderId="37" xfId="0" applyNumberFormat="1" applyFont="1" applyFill="1" applyBorder="1" applyAlignment="1">
      <alignment horizontal="center"/>
    </xf>
    <xf numFmtId="166" fontId="2" fillId="4" borderId="0" xfId="0" applyNumberFormat="1" applyFont="1" applyFill="1" applyAlignment="1">
      <alignment horizontal="center"/>
    </xf>
    <xf numFmtId="166" fontId="2" fillId="4" borderId="33" xfId="0" applyNumberFormat="1" applyFont="1" applyFill="1" applyBorder="1" applyAlignment="1">
      <alignment horizontal="center"/>
    </xf>
    <xf numFmtId="169" fontId="17" fillId="4" borderId="23" xfId="0" applyNumberFormat="1" applyFont="1" applyFill="1" applyBorder="1" applyAlignment="1">
      <alignment horizontal="center"/>
    </xf>
    <xf numFmtId="169" fontId="17" fillId="4" borderId="16" xfId="0" applyNumberFormat="1" applyFont="1" applyFill="1" applyBorder="1" applyAlignment="1">
      <alignment horizontal="center"/>
    </xf>
    <xf numFmtId="169" fontId="17" fillId="4" borderId="36" xfId="0" applyNumberFormat="1" applyFont="1" applyFill="1" applyBorder="1" applyAlignment="1">
      <alignment horizontal="center"/>
    </xf>
    <xf numFmtId="166" fontId="2" fillId="4" borderId="17" xfId="0" applyNumberFormat="1" applyFont="1" applyFill="1" applyBorder="1" applyAlignment="1">
      <alignment horizontal="center"/>
    </xf>
    <xf numFmtId="0" fontId="16" fillId="0" borderId="0" xfId="0" applyFont="1" applyAlignment="1">
      <alignment horizontal="left" vertical="center"/>
    </xf>
    <xf numFmtId="3" fontId="0" fillId="5" borderId="27" xfId="0" applyNumberFormat="1" applyFill="1" applyBorder="1"/>
    <xf numFmtId="3" fontId="0" fillId="5" borderId="14" xfId="0" applyNumberFormat="1" applyFill="1" applyBorder="1"/>
    <xf numFmtId="3" fontId="0" fillId="5" borderId="28" xfId="0" applyNumberFormat="1" applyFill="1" applyBorder="1"/>
    <xf numFmtId="0" fontId="9" fillId="2" borderId="10" xfId="0" applyFont="1" applyFill="1" applyBorder="1"/>
    <xf numFmtId="0" fontId="0" fillId="2" borderId="21" xfId="0" applyFill="1" applyBorder="1"/>
    <xf numFmtId="0" fontId="0" fillId="2" borderId="22" xfId="0" applyFill="1" applyBorder="1"/>
    <xf numFmtId="0" fontId="5" fillId="5" borderId="22" xfId="0" applyFont="1" applyFill="1" applyBorder="1"/>
    <xf numFmtId="0" fontId="0" fillId="2" borderId="37" xfId="0" applyFill="1" applyBorder="1"/>
    <xf numFmtId="0" fontId="0" fillId="2" borderId="23" xfId="0" applyFill="1" applyBorder="1"/>
    <xf numFmtId="0" fontId="0" fillId="2" borderId="16" xfId="0" applyFill="1" applyBorder="1"/>
    <xf numFmtId="0" fontId="0" fillId="2" borderId="36" xfId="0" applyFill="1" applyBorder="1"/>
    <xf numFmtId="167" fontId="5" fillId="2" borderId="0" xfId="0" applyNumberFormat="1" applyFont="1" applyFill="1"/>
    <xf numFmtId="3" fontId="5" fillId="5" borderId="0" xfId="0" applyNumberFormat="1" applyFont="1" applyFill="1"/>
    <xf numFmtId="169" fontId="5" fillId="2" borderId="16" xfId="0" applyNumberFormat="1" applyFont="1" applyFill="1" applyBorder="1"/>
    <xf numFmtId="169" fontId="5" fillId="5" borderId="0" xfId="0" applyNumberFormat="1" applyFont="1" applyFill="1"/>
    <xf numFmtId="166" fontId="5" fillId="5" borderId="0" xfId="0" applyNumberFormat="1" applyFont="1" applyFill="1"/>
    <xf numFmtId="0" fontId="0" fillId="2" borderId="20" xfId="0" applyFill="1" applyBorder="1"/>
    <xf numFmtId="0" fontId="2" fillId="7" borderId="18" xfId="0" applyFont="1" applyFill="1" applyBorder="1" applyAlignment="1">
      <alignment horizontal="left" vertical="center"/>
    </xf>
    <xf numFmtId="0" fontId="0" fillId="2" borderId="0" xfId="0" applyFill="1" applyAlignment="1">
      <alignment vertical="center"/>
    </xf>
    <xf numFmtId="167" fontId="5" fillId="2" borderId="16" xfId="0" applyNumberFormat="1" applyFont="1" applyFill="1" applyBorder="1"/>
    <xf numFmtId="167" fontId="5" fillId="5" borderId="16" xfId="0" applyNumberFormat="1" applyFont="1" applyFill="1" applyBorder="1"/>
    <xf numFmtId="164" fontId="2" fillId="7" borderId="19" xfId="0" applyNumberFormat="1" applyFont="1" applyFill="1" applyBorder="1"/>
    <xf numFmtId="0" fontId="2" fillId="7" borderId="20" xfId="0" applyFont="1" applyFill="1" applyBorder="1"/>
    <xf numFmtId="0" fontId="0" fillId="2" borderId="21" xfId="0" applyFill="1" applyBorder="1" applyAlignment="1">
      <alignment vertical="center"/>
    </xf>
    <xf numFmtId="0" fontId="0" fillId="2" borderId="22" xfId="0" applyFill="1" applyBorder="1" applyAlignment="1">
      <alignment vertical="center"/>
    </xf>
    <xf numFmtId="0" fontId="0" fillId="5" borderId="22" xfId="0" applyFill="1" applyBorder="1"/>
    <xf numFmtId="0" fontId="2" fillId="2" borderId="21" xfId="0" applyFont="1" applyFill="1" applyBorder="1"/>
    <xf numFmtId="0" fontId="4" fillId="2" borderId="23" xfId="0" applyFont="1" applyFill="1" applyBorder="1"/>
    <xf numFmtId="0" fontId="0" fillId="2" borderId="37" xfId="0" applyFill="1" applyBorder="1" applyAlignment="1">
      <alignment vertical="center"/>
    </xf>
    <xf numFmtId="0" fontId="2" fillId="7" borderId="21" xfId="0" applyFont="1" applyFill="1" applyBorder="1" applyAlignment="1">
      <alignment horizontal="left" vertical="center"/>
    </xf>
    <xf numFmtId="0" fontId="2" fillId="7" borderId="22" xfId="0" applyFont="1" applyFill="1" applyBorder="1"/>
    <xf numFmtId="0" fontId="0" fillId="7" borderId="22" xfId="0" applyFill="1" applyBorder="1"/>
    <xf numFmtId="0" fontId="0" fillId="7" borderId="26" xfId="0" applyFill="1" applyBorder="1"/>
    <xf numFmtId="166" fontId="2" fillId="4" borderId="22" xfId="0" applyNumberFormat="1" applyFont="1" applyFill="1" applyBorder="1"/>
    <xf numFmtId="169" fontId="17" fillId="4" borderId="16" xfId="0" applyNumberFormat="1" applyFont="1" applyFill="1" applyBorder="1"/>
    <xf numFmtId="3" fontId="2" fillId="5" borderId="0" xfId="0" applyNumberFormat="1" applyFont="1" applyFill="1"/>
    <xf numFmtId="0" fontId="9" fillId="0" borderId="0" xfId="0" applyFont="1"/>
    <xf numFmtId="0" fontId="5" fillId="0" borderId="16" xfId="0" applyFont="1" applyBorder="1"/>
    <xf numFmtId="164" fontId="2" fillId="7" borderId="22" xfId="0" applyNumberFormat="1" applyFont="1" applyFill="1" applyBorder="1"/>
    <xf numFmtId="0" fontId="2" fillId="7" borderId="26" xfId="0" applyFont="1" applyFill="1" applyBorder="1"/>
    <xf numFmtId="0" fontId="19" fillId="2" borderId="0" xfId="0" applyFont="1" applyFill="1"/>
    <xf numFmtId="0" fontId="20" fillId="2" borderId="0" xfId="0" applyFont="1" applyFill="1"/>
    <xf numFmtId="0" fontId="0" fillId="2" borderId="18" xfId="0" applyFill="1" applyBorder="1"/>
    <xf numFmtId="0" fontId="0" fillId="2" borderId="19" xfId="0" applyFill="1" applyBorder="1"/>
    <xf numFmtId="0" fontId="0" fillId="5" borderId="31" xfId="0" applyFill="1" applyBorder="1"/>
    <xf numFmtId="0" fontId="0" fillId="5" borderId="34" xfId="0" applyFill="1" applyBorder="1"/>
    <xf numFmtId="0" fontId="0" fillId="0" borderId="27" xfId="0" applyBorder="1"/>
    <xf numFmtId="0" fontId="0" fillId="0" borderId="28" xfId="0" applyBorder="1"/>
    <xf numFmtId="1" fontId="0" fillId="0" borderId="29" xfId="0" applyNumberFormat="1" applyBorder="1"/>
    <xf numFmtId="1" fontId="0" fillId="0" borderId="30" xfId="0" applyNumberFormat="1" applyBorder="1"/>
    <xf numFmtId="0" fontId="0" fillId="2" borderId="28" xfId="0" applyFill="1" applyBorder="1"/>
    <xf numFmtId="0" fontId="5" fillId="5" borderId="29" xfId="0" applyFont="1" applyFill="1" applyBorder="1"/>
    <xf numFmtId="0" fontId="5" fillId="5" borderId="31" xfId="0" applyFont="1" applyFill="1" applyBorder="1"/>
    <xf numFmtId="1" fontId="0" fillId="0" borderId="27" xfId="0" applyNumberFormat="1" applyBorder="1"/>
    <xf numFmtId="0" fontId="5" fillId="5" borderId="30" xfId="0" applyFont="1" applyFill="1" applyBorder="1"/>
    <xf numFmtId="0" fontId="5" fillId="5" borderId="27" xfId="0" applyFont="1" applyFill="1" applyBorder="1"/>
    <xf numFmtId="0" fontId="5" fillId="5" borderId="14" xfId="0" applyFont="1" applyFill="1" applyBorder="1"/>
    <xf numFmtId="0" fontId="5" fillId="7" borderId="17" xfId="0" applyFont="1" applyFill="1" applyBorder="1" applyAlignment="1">
      <alignment horizontal="center" vertical="center" wrapText="1"/>
    </xf>
    <xf numFmtId="0" fontId="0" fillId="7" borderId="17" xfId="0" applyFill="1" applyBorder="1" applyAlignment="1">
      <alignment horizontal="center" vertical="center" wrapText="1"/>
    </xf>
    <xf numFmtId="0" fontId="0" fillId="0" borderId="17" xfId="0" applyBorder="1"/>
    <xf numFmtId="0" fontId="4" fillId="5" borderId="17" xfId="0" applyFont="1" applyFill="1" applyBorder="1"/>
    <xf numFmtId="0" fontId="0" fillId="5" borderId="18" xfId="0" applyFill="1" applyBorder="1"/>
    <xf numFmtId="1" fontId="2" fillId="2" borderId="31" xfId="0" applyNumberFormat="1" applyFont="1" applyFill="1" applyBorder="1"/>
    <xf numFmtId="1" fontId="2" fillId="2" borderId="5" xfId="0" applyNumberFormat="1" applyFont="1" applyFill="1" applyBorder="1"/>
    <xf numFmtId="1" fontId="2" fillId="2" borderId="32" xfId="0" applyNumberFormat="1" applyFont="1" applyFill="1" applyBorder="1"/>
    <xf numFmtId="0" fontId="0" fillId="0" borderId="32" xfId="0" applyBorder="1"/>
    <xf numFmtId="0" fontId="0" fillId="10" borderId="33" xfId="0" quotePrefix="1" applyFill="1" applyBorder="1" applyAlignment="1">
      <alignment horizontal="right"/>
    </xf>
    <xf numFmtId="0" fontId="0" fillId="10" borderId="34" xfId="0" quotePrefix="1" applyFill="1" applyBorder="1" applyAlignment="1">
      <alignment horizontal="right"/>
    </xf>
    <xf numFmtId="0" fontId="0" fillId="10" borderId="28" xfId="0" applyFill="1" applyBorder="1"/>
    <xf numFmtId="0" fontId="5" fillId="10" borderId="30" xfId="0" quotePrefix="1" applyFont="1" applyFill="1" applyBorder="1"/>
    <xf numFmtId="0" fontId="5" fillId="10" borderId="30" xfId="0" applyFont="1" applyFill="1" applyBorder="1"/>
    <xf numFmtId="0" fontId="5" fillId="10" borderId="31" xfId="0" applyFont="1" applyFill="1" applyBorder="1"/>
    <xf numFmtId="0" fontId="5" fillId="10" borderId="27" xfId="0" applyFont="1" applyFill="1" applyBorder="1"/>
    <xf numFmtId="1" fontId="2" fillId="4" borderId="17" xfId="0" applyNumberFormat="1" applyFont="1" applyFill="1" applyBorder="1"/>
    <xf numFmtId="0" fontId="2" fillId="7" borderId="6" xfId="0" applyFont="1" applyFill="1" applyBorder="1"/>
    <xf numFmtId="0" fontId="0" fillId="7" borderId="7" xfId="0" applyFill="1" applyBorder="1"/>
    <xf numFmtId="0" fontId="2" fillId="7" borderId="18" xfId="0" applyFont="1" applyFill="1" applyBorder="1"/>
    <xf numFmtId="166" fontId="0" fillId="5" borderId="18" xfId="0" applyNumberFormat="1" applyFill="1" applyBorder="1"/>
    <xf numFmtId="0" fontId="0" fillId="5" borderId="21" xfId="0" applyFill="1" applyBorder="1"/>
    <xf numFmtId="0" fontId="0" fillId="2" borderId="17" xfId="0" applyFill="1" applyBorder="1"/>
    <xf numFmtId="1" fontId="0" fillId="4" borderId="17" xfId="0" applyNumberFormat="1" applyFill="1" applyBorder="1"/>
    <xf numFmtId="0" fontId="0" fillId="4" borderId="20" xfId="0" applyFill="1" applyBorder="1"/>
    <xf numFmtId="44" fontId="0" fillId="2" borderId="9" xfId="0" applyNumberFormat="1" applyFill="1" applyBorder="1"/>
    <xf numFmtId="44" fontId="0" fillId="5" borderId="6" xfId="1" applyFont="1" applyFill="1" applyBorder="1"/>
    <xf numFmtId="170" fontId="0" fillId="4" borderId="11" xfId="0" applyNumberFormat="1" applyFill="1" applyBorder="1"/>
    <xf numFmtId="0" fontId="2" fillId="4" borderId="17" xfId="0" applyFont="1" applyFill="1" applyBorder="1" applyAlignment="1">
      <alignment vertical="center"/>
    </xf>
    <xf numFmtId="0" fontId="0" fillId="4" borderId="17" xfId="0" applyFill="1" applyBorder="1"/>
    <xf numFmtId="3" fontId="0" fillId="2" borderId="8" xfId="0" applyNumberFormat="1" applyFill="1" applyBorder="1" applyAlignment="1">
      <alignment horizontal="left" vertical="center"/>
    </xf>
    <xf numFmtId="3" fontId="0" fillId="2" borderId="48" xfId="0" applyNumberFormat="1" applyFill="1" applyBorder="1" applyAlignment="1">
      <alignment horizontal="left" vertical="center"/>
    </xf>
    <xf numFmtId="3" fontId="0" fillId="4" borderId="47" xfId="0" applyNumberFormat="1" applyFill="1" applyBorder="1" applyAlignment="1">
      <alignment horizontal="left" vertical="center"/>
    </xf>
    <xf numFmtId="0" fontId="0" fillId="5" borderId="44" xfId="0" applyFill="1" applyBorder="1"/>
    <xf numFmtId="0" fontId="0" fillId="2" borderId="48" xfId="0" applyFill="1" applyBorder="1"/>
    <xf numFmtId="0" fontId="0" fillId="2" borderId="51" xfId="0" applyFill="1" applyBorder="1"/>
    <xf numFmtId="168" fontId="0" fillId="5" borderId="50" xfId="0" applyNumberFormat="1" applyFill="1" applyBorder="1" applyAlignment="1">
      <alignment horizontal="right" vertical="center"/>
    </xf>
    <xf numFmtId="3" fontId="0" fillId="2" borderId="51" xfId="0" applyNumberFormat="1" applyFill="1" applyBorder="1" applyAlignment="1">
      <alignment horizontal="left" vertical="center"/>
    </xf>
    <xf numFmtId="3" fontId="0" fillId="4" borderId="49" xfId="0" applyNumberFormat="1" applyFill="1" applyBorder="1" applyAlignment="1">
      <alignment horizontal="right" vertical="center"/>
    </xf>
    <xf numFmtId="0" fontId="0" fillId="2" borderId="50" xfId="0" applyFill="1" applyBorder="1"/>
    <xf numFmtId="3" fontId="0" fillId="2" borderId="50" xfId="0" applyNumberFormat="1" applyFill="1" applyBorder="1" applyAlignment="1">
      <alignment horizontal="right" vertical="center"/>
    </xf>
    <xf numFmtId="164" fontId="0" fillId="2" borderId="37" xfId="0" applyNumberFormat="1" applyFill="1" applyBorder="1"/>
    <xf numFmtId="0" fontId="0" fillId="7" borderId="8" xfId="0" applyFill="1" applyBorder="1"/>
    <xf numFmtId="0" fontId="3" fillId="7" borderId="8" xfId="2" applyFill="1" applyBorder="1" applyAlignment="1">
      <alignment horizontal="center" vertical="center"/>
    </xf>
    <xf numFmtId="0" fontId="0" fillId="5" borderId="2" xfId="0" applyFill="1" applyBorder="1"/>
    <xf numFmtId="1" fontId="0" fillId="2" borderId="2" xfId="0" applyNumberFormat="1" applyFill="1" applyBorder="1"/>
    <xf numFmtId="3" fontId="0" fillId="2" borderId="2" xfId="0" applyNumberFormat="1" applyFill="1" applyBorder="1" applyAlignment="1">
      <alignment horizontal="right" vertical="center"/>
    </xf>
    <xf numFmtId="168" fontId="0" fillId="5" borderId="7" xfId="0" applyNumberFormat="1" applyFill="1" applyBorder="1" applyAlignment="1">
      <alignment horizontal="right" vertical="center"/>
    </xf>
    <xf numFmtId="164" fontId="0" fillId="2" borderId="22" xfId="0" applyNumberFormat="1" applyFill="1" applyBorder="1"/>
    <xf numFmtId="1" fontId="0" fillId="4" borderId="46" xfId="0" applyNumberFormat="1" applyFill="1" applyBorder="1" applyAlignment="1">
      <alignment horizontal="right" vertical="center"/>
    </xf>
    <xf numFmtId="0" fontId="2" fillId="2" borderId="42" xfId="0" applyFont="1" applyFill="1" applyBorder="1"/>
    <xf numFmtId="0" fontId="4" fillId="2" borderId="7" xfId="0" applyFont="1" applyFill="1" applyBorder="1"/>
    <xf numFmtId="165" fontId="0" fillId="5" borderId="0" xfId="0" applyNumberFormat="1" applyFill="1"/>
    <xf numFmtId="6" fontId="0" fillId="2" borderId="12" xfId="0" applyNumberFormat="1" applyFill="1" applyBorder="1"/>
    <xf numFmtId="3" fontId="0" fillId="4" borderId="2" xfId="0" applyNumberFormat="1" applyFill="1" applyBorder="1" applyAlignment="1">
      <alignment horizontal="right" vertical="center"/>
    </xf>
    <xf numFmtId="170" fontId="0" fillId="2" borderId="26" xfId="0" applyNumberFormat="1" applyFill="1" applyBorder="1"/>
    <xf numFmtId="170" fontId="0" fillId="2" borderId="33" xfId="0" applyNumberFormat="1" applyFill="1" applyBorder="1"/>
    <xf numFmtId="44" fontId="0" fillId="2" borderId="36" xfId="0" applyNumberFormat="1" applyFill="1" applyBorder="1"/>
    <xf numFmtId="0" fontId="0" fillId="4" borderId="37" xfId="0" applyFill="1" applyBorder="1"/>
    <xf numFmtId="0" fontId="0" fillId="4" borderId="0" xfId="0" applyFill="1"/>
    <xf numFmtId="170" fontId="0" fillId="4" borderId="33" xfId="0" applyNumberFormat="1" applyFill="1" applyBorder="1"/>
    <xf numFmtId="0" fontId="5" fillId="7" borderId="42" xfId="0" applyFont="1" applyFill="1" applyBorder="1" applyAlignment="1">
      <alignment horizontal="center" vertical="center" wrapText="1"/>
    </xf>
    <xf numFmtId="0" fontId="5" fillId="0" borderId="20" xfId="0" applyFont="1" applyBorder="1"/>
    <xf numFmtId="169" fontId="0" fillId="5" borderId="17" xfId="0" applyNumberFormat="1" applyFill="1" applyBorder="1" applyAlignment="1">
      <alignment horizontal="center" vertical="center"/>
    </xf>
    <xf numFmtId="0" fontId="0" fillId="0" borderId="17" xfId="0" applyBorder="1" applyAlignment="1">
      <alignment horizontal="center" vertical="center"/>
    </xf>
    <xf numFmtId="170" fontId="0" fillId="2" borderId="17" xfId="0" applyNumberFormat="1" applyFill="1" applyBorder="1" applyAlignment="1">
      <alignment horizontal="center" vertical="center"/>
    </xf>
    <xf numFmtId="170" fontId="0" fillId="4" borderId="17" xfId="0" applyNumberFormat="1" applyFill="1" applyBorder="1" applyAlignment="1">
      <alignment horizontal="center" vertical="center"/>
    </xf>
    <xf numFmtId="0" fontId="2" fillId="7" borderId="6" xfId="0" applyFont="1" applyFill="1" applyBorder="1" applyAlignment="1">
      <alignment horizontal="left" vertical="center"/>
    </xf>
    <xf numFmtId="0" fontId="2" fillId="7" borderId="7" xfId="0" applyFont="1" applyFill="1" applyBorder="1"/>
    <xf numFmtId="0" fontId="5" fillId="0" borderId="26" xfId="0" applyFont="1" applyBorder="1"/>
    <xf numFmtId="0" fontId="5" fillId="0" borderId="33" xfId="0" applyFont="1" applyBorder="1"/>
    <xf numFmtId="6" fontId="5" fillId="0" borderId="21" xfId="0" applyNumberFormat="1" applyFont="1" applyBorder="1"/>
    <xf numFmtId="6" fontId="5" fillId="0" borderId="37" xfId="0" applyNumberFormat="1" applyFont="1" applyBorder="1"/>
    <xf numFmtId="0" fontId="0" fillId="7" borderId="18" xfId="0" applyFill="1" applyBorder="1"/>
    <xf numFmtId="165" fontId="16" fillId="0" borderId="26" xfId="0" applyNumberFormat="1" applyFont="1" applyBorder="1"/>
    <xf numFmtId="165" fontId="16" fillId="0" borderId="33" xfId="0" applyNumberFormat="1" applyFont="1" applyBorder="1"/>
    <xf numFmtId="0" fontId="4" fillId="7" borderId="8" xfId="0" applyFont="1" applyFill="1" applyBorder="1" applyAlignment="1">
      <alignment horizontal="right" vertical="center"/>
    </xf>
    <xf numFmtId="0" fontId="17" fillId="4" borderId="21" xfId="0" applyFont="1" applyFill="1" applyBorder="1" applyAlignment="1">
      <alignment horizontal="left" vertical="center"/>
    </xf>
    <xf numFmtId="0" fontId="2" fillId="4" borderId="22" xfId="0" applyFont="1" applyFill="1" applyBorder="1"/>
    <xf numFmtId="0" fontId="0" fillId="4" borderId="22" xfId="0" applyFill="1" applyBorder="1"/>
    <xf numFmtId="6" fontId="5" fillId="4" borderId="21" xfId="0" applyNumberFormat="1" applyFont="1" applyFill="1" applyBorder="1"/>
    <xf numFmtId="6" fontId="5" fillId="0" borderId="23" xfId="0" applyNumberFormat="1" applyFont="1" applyBorder="1"/>
    <xf numFmtId="8" fontId="16" fillId="0" borderId="36" xfId="0" applyNumberFormat="1" applyFont="1" applyBorder="1"/>
    <xf numFmtId="0" fontId="2" fillId="7" borderId="6" xfId="0" applyFont="1" applyFill="1" applyBorder="1" applyAlignment="1">
      <alignment horizontal="right"/>
    </xf>
    <xf numFmtId="0" fontId="17" fillId="7" borderId="8" xfId="0" applyFont="1" applyFill="1" applyBorder="1" applyAlignment="1">
      <alignment horizontal="right" vertical="center"/>
    </xf>
    <xf numFmtId="0" fontId="2" fillId="7" borderId="6" xfId="0" applyFont="1" applyFill="1" applyBorder="1" applyAlignment="1">
      <alignment horizontal="right" wrapText="1"/>
    </xf>
    <xf numFmtId="0" fontId="7" fillId="0" borderId="0" xfId="0" applyFont="1" applyAlignment="1">
      <alignment vertical="center"/>
    </xf>
    <xf numFmtId="0" fontId="5" fillId="0" borderId="0" xfId="0" applyFont="1" applyAlignment="1">
      <alignment vertical="center"/>
    </xf>
    <xf numFmtId="0" fontId="7" fillId="7" borderId="4" xfId="0" applyFont="1" applyFill="1" applyBorder="1" applyAlignment="1">
      <alignment horizontal="center" vertical="center" wrapText="1"/>
    </xf>
    <xf numFmtId="0" fontId="2" fillId="7" borderId="4" xfId="0" applyFont="1" applyFill="1" applyBorder="1" applyAlignment="1">
      <alignment horizontal="center" vertical="center" wrapText="1"/>
    </xf>
    <xf numFmtId="3" fontId="0" fillId="5" borderId="4" xfId="0" applyNumberFormat="1" applyFill="1" applyBorder="1"/>
    <xf numFmtId="0" fontId="0" fillId="0" borderId="1" xfId="0" applyBorder="1"/>
    <xf numFmtId="0" fontId="0" fillId="0" borderId="2" xfId="0" applyBorder="1"/>
    <xf numFmtId="0" fontId="0" fillId="0" borderId="3" xfId="0" applyBorder="1"/>
    <xf numFmtId="0" fontId="0" fillId="5" borderId="8" xfId="0" applyFill="1" applyBorder="1"/>
    <xf numFmtId="3" fontId="0" fillId="2" borderId="4" xfId="0" applyNumberFormat="1" applyFill="1" applyBorder="1"/>
    <xf numFmtId="169" fontId="0" fillId="5" borderId="4" xfId="0" applyNumberFormat="1" applyFill="1" applyBorder="1"/>
    <xf numFmtId="169" fontId="0" fillId="11" borderId="4" xfId="0" applyNumberFormat="1" applyFill="1" applyBorder="1"/>
    <xf numFmtId="166" fontId="0" fillId="2" borderId="4" xfId="0" applyNumberFormat="1" applyFill="1" applyBorder="1"/>
    <xf numFmtId="0" fontId="0" fillId="11" borderId="1" xfId="0" applyFill="1" applyBorder="1"/>
    <xf numFmtId="0" fontId="0" fillId="11" borderId="2" xfId="0" applyFill="1" applyBorder="1"/>
    <xf numFmtId="0" fontId="0" fillId="11" borderId="3" xfId="0" applyFill="1" applyBorder="1"/>
    <xf numFmtId="166" fontId="0" fillId="5" borderId="4" xfId="0" applyNumberFormat="1" applyFill="1" applyBorder="1"/>
    <xf numFmtId="9" fontId="0" fillId="5" borderId="4" xfId="4" applyFont="1" applyFill="1" applyBorder="1"/>
    <xf numFmtId="166" fontId="0" fillId="4" borderId="4" xfId="0" applyNumberFormat="1" applyFill="1" applyBorder="1"/>
    <xf numFmtId="6" fontId="5" fillId="4" borderId="1" xfId="0" applyNumberFormat="1" applyFont="1" applyFill="1" applyBorder="1"/>
    <xf numFmtId="8" fontId="16" fillId="4" borderId="3" xfId="0" applyNumberFormat="1" applyFont="1" applyFill="1" applyBorder="1"/>
    <xf numFmtId="0" fontId="0" fillId="6" borderId="2" xfId="0" applyFill="1" applyBorder="1"/>
    <xf numFmtId="6" fontId="0" fillId="0" borderId="14" xfId="0" applyNumberFormat="1" applyBorder="1"/>
    <xf numFmtId="6" fontId="0" fillId="0" borderId="15" xfId="0" applyNumberFormat="1" applyBorder="1"/>
    <xf numFmtId="6" fontId="0" fillId="0" borderId="5" xfId="0" applyNumberFormat="1" applyBorder="1"/>
    <xf numFmtId="0" fontId="3" fillId="0" borderId="0" xfId="2" applyFill="1" applyBorder="1"/>
    <xf numFmtId="0" fontId="22" fillId="0" borderId="0" xfId="0" applyFont="1"/>
    <xf numFmtId="0" fontId="22" fillId="0" borderId="21" xfId="0" applyFont="1" applyBorder="1"/>
    <xf numFmtId="0" fontId="22" fillId="0" borderId="22" xfId="0" applyFont="1" applyBorder="1"/>
    <xf numFmtId="0" fontId="22" fillId="0" borderId="37" xfId="0" applyFont="1" applyBorder="1"/>
    <xf numFmtId="0" fontId="15" fillId="0" borderId="0" xfId="0" applyFont="1"/>
    <xf numFmtId="0" fontId="24" fillId="7" borderId="24" xfId="0" applyFont="1" applyFill="1" applyBorder="1" applyAlignment="1">
      <alignment horizontal="center" vertical="center" wrapText="1"/>
    </xf>
    <xf numFmtId="0" fontId="15" fillId="7" borderId="25"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5" fillId="0" borderId="6" xfId="0" applyFont="1" applyBorder="1"/>
    <xf numFmtId="0" fontId="15" fillId="0" borderId="7" xfId="0" applyFont="1" applyBorder="1"/>
    <xf numFmtId="3" fontId="15" fillId="5" borderId="27" xfId="0" applyNumberFormat="1" applyFont="1" applyFill="1" applyBorder="1"/>
    <xf numFmtId="3" fontId="15" fillId="5" borderId="14" xfId="0" applyNumberFormat="1" applyFont="1" applyFill="1" applyBorder="1"/>
    <xf numFmtId="3" fontId="15" fillId="5" borderId="28" xfId="0" applyNumberFormat="1" applyFont="1" applyFill="1" applyBorder="1"/>
    <xf numFmtId="0" fontId="15" fillId="0" borderId="9" xfId="0" applyFont="1" applyBorder="1"/>
    <xf numFmtId="9" fontId="15" fillId="5" borderId="29" xfId="4" applyFont="1" applyFill="1" applyBorder="1"/>
    <xf numFmtId="9" fontId="15" fillId="5" borderId="10" xfId="4" applyFont="1" applyFill="1" applyBorder="1"/>
    <xf numFmtId="9" fontId="15" fillId="5" borderId="33" xfId="4" applyFont="1" applyFill="1" applyBorder="1"/>
    <xf numFmtId="9" fontId="15" fillId="5" borderId="29" xfId="0" applyNumberFormat="1" applyFont="1" applyFill="1" applyBorder="1"/>
    <xf numFmtId="9" fontId="15" fillId="5" borderId="10" xfId="0" applyNumberFormat="1" applyFont="1" applyFill="1" applyBorder="1"/>
    <xf numFmtId="9" fontId="15" fillId="5" borderId="33" xfId="0" applyNumberFormat="1" applyFont="1" applyFill="1" applyBorder="1"/>
    <xf numFmtId="0" fontId="15" fillId="0" borderId="29" xfId="0" applyFont="1" applyBorder="1"/>
    <xf numFmtId="0" fontId="15" fillId="0" borderId="15" xfId="0" applyFont="1" applyBorder="1"/>
    <xf numFmtId="0" fontId="15" fillId="0" borderId="30" xfId="0" applyFont="1" applyBorder="1"/>
    <xf numFmtId="164" fontId="15" fillId="0" borderId="29" xfId="0" applyNumberFormat="1" applyFont="1" applyBorder="1"/>
    <xf numFmtId="164" fontId="15" fillId="0" borderId="10" xfId="0" applyNumberFormat="1" applyFont="1" applyBorder="1"/>
    <xf numFmtId="164" fontId="15" fillId="0" borderId="33" xfId="0" applyNumberFormat="1" applyFont="1" applyBorder="1"/>
    <xf numFmtId="0" fontId="15" fillId="0" borderId="21" xfId="0" applyFont="1" applyBorder="1"/>
    <xf numFmtId="0" fontId="15" fillId="0" borderId="22" xfId="0" applyFont="1" applyBorder="1"/>
    <xf numFmtId="0" fontId="15" fillId="2" borderId="24" xfId="0" applyFont="1" applyFill="1" applyBorder="1"/>
    <xf numFmtId="0" fontId="24" fillId="0" borderId="37" xfId="0" applyFont="1" applyBorder="1" applyAlignment="1">
      <alignment horizontal="left"/>
    </xf>
    <xf numFmtId="0" fontId="15" fillId="5" borderId="29" xfId="0" applyFont="1" applyFill="1" applyBorder="1"/>
    <xf numFmtId="9" fontId="15" fillId="5" borderId="38" xfId="0" applyNumberFormat="1" applyFont="1" applyFill="1" applyBorder="1"/>
    <xf numFmtId="0" fontId="15" fillId="0" borderId="37" xfId="0" applyFont="1" applyBorder="1"/>
    <xf numFmtId="0" fontId="15" fillId="0" borderId="35" xfId="0" applyFont="1" applyBorder="1"/>
    <xf numFmtId="0" fontId="15" fillId="0" borderId="26" xfId="0" applyFont="1" applyBorder="1"/>
    <xf numFmtId="0" fontId="15" fillId="5" borderId="29" xfId="0" applyFont="1" applyFill="1" applyBorder="1" applyAlignment="1">
      <alignment horizontal="right" vertical="center"/>
    </xf>
    <xf numFmtId="0" fontId="15" fillId="5" borderId="15" xfId="0" applyFont="1" applyFill="1" applyBorder="1" applyAlignment="1">
      <alignment horizontal="right" vertical="center"/>
    </xf>
    <xf numFmtId="0" fontId="15" fillId="0" borderId="33" xfId="0" applyFont="1" applyBorder="1"/>
    <xf numFmtId="0" fontId="24" fillId="5" borderId="29" xfId="0" applyFont="1" applyFill="1" applyBorder="1" applyAlignment="1">
      <alignment horizontal="right" vertical="center"/>
    </xf>
    <xf numFmtId="0" fontId="24" fillId="5" borderId="15" xfId="0" applyFont="1" applyFill="1" applyBorder="1" applyAlignment="1">
      <alignment horizontal="right" vertical="center"/>
    </xf>
    <xf numFmtId="0" fontId="15" fillId="0" borderId="23" xfId="0" applyFont="1" applyBorder="1"/>
    <xf numFmtId="0" fontId="15" fillId="0" borderId="16" xfId="0" applyFont="1" applyBorder="1"/>
    <xf numFmtId="0" fontId="15" fillId="0" borderId="36" xfId="0" applyFont="1" applyBorder="1"/>
    <xf numFmtId="0" fontId="24" fillId="5" borderId="13" xfId="0" applyFont="1" applyFill="1" applyBorder="1" applyAlignment="1">
      <alignment horizontal="right" vertical="center"/>
    </xf>
    <xf numFmtId="0" fontId="24" fillId="5" borderId="5" xfId="0" applyFont="1" applyFill="1" applyBorder="1" applyAlignment="1">
      <alignment horizontal="right" vertical="center"/>
    </xf>
    <xf numFmtId="0" fontId="15" fillId="0" borderId="18" xfId="0" applyFont="1" applyBorder="1"/>
    <xf numFmtId="0" fontId="15" fillId="0" borderId="19" xfId="0" applyFont="1" applyBorder="1"/>
    <xf numFmtId="0" fontId="15" fillId="0" borderId="20" xfId="0" applyFont="1" applyBorder="1"/>
    <xf numFmtId="165" fontId="15" fillId="5" borderId="3" xfId="0" applyNumberFormat="1" applyFont="1" applyFill="1" applyBorder="1" applyAlignment="1">
      <alignment horizontal="right" vertical="center"/>
    </xf>
    <xf numFmtId="165" fontId="15" fillId="5" borderId="4" xfId="0" applyNumberFormat="1" applyFont="1" applyFill="1" applyBorder="1" applyAlignment="1">
      <alignment horizontal="right" vertical="center"/>
    </xf>
    <xf numFmtId="0" fontId="22" fillId="0" borderId="26" xfId="0" applyFont="1" applyBorder="1" applyAlignment="1">
      <alignment horizontal="right"/>
    </xf>
    <xf numFmtId="0" fontId="26" fillId="0" borderId="42" xfId="0" applyFont="1" applyBorder="1" applyAlignment="1">
      <alignment horizontal="center"/>
    </xf>
    <xf numFmtId="0" fontId="22" fillId="2" borderId="0" xfId="0" applyFont="1" applyFill="1" applyAlignment="1">
      <alignment horizontal="center"/>
    </xf>
    <xf numFmtId="0" fontId="22" fillId="0" borderId="33" xfId="0" applyFont="1" applyBorder="1" applyAlignment="1">
      <alignment horizontal="right"/>
    </xf>
    <xf numFmtId="0" fontId="26" fillId="0" borderId="38" xfId="0" applyFont="1" applyBorder="1" applyAlignment="1">
      <alignment horizontal="center"/>
    </xf>
    <xf numFmtId="0" fontId="22" fillId="7" borderId="23" xfId="0" applyFont="1" applyFill="1" applyBorder="1"/>
    <xf numFmtId="0" fontId="22" fillId="7" borderId="16" xfId="0" applyFont="1" applyFill="1" applyBorder="1"/>
    <xf numFmtId="0" fontId="22" fillId="7" borderId="36" xfId="0" applyFont="1" applyFill="1" applyBorder="1" applyAlignment="1">
      <alignment horizontal="right"/>
    </xf>
    <xf numFmtId="0" fontId="22" fillId="7" borderId="39" xfId="0" applyFont="1" applyFill="1" applyBorder="1" applyAlignment="1">
      <alignment horizontal="center"/>
    </xf>
    <xf numFmtId="1" fontId="22" fillId="2" borderId="0" xfId="0" applyNumberFormat="1" applyFont="1" applyFill="1" applyAlignment="1">
      <alignment horizontal="center"/>
    </xf>
    <xf numFmtId="0" fontId="13" fillId="2" borderId="0" xfId="0" applyFont="1" applyFill="1" applyAlignment="1">
      <alignment vertical="center"/>
    </xf>
    <xf numFmtId="0" fontId="5" fillId="2" borderId="0" xfId="0" applyFont="1" applyFill="1" applyAlignment="1">
      <alignment vertical="center"/>
    </xf>
    <xf numFmtId="0" fontId="5" fillId="2" borderId="0" xfId="0" applyFont="1" applyFill="1"/>
    <xf numFmtId="0" fontId="18" fillId="2" borderId="0" xfId="0" applyFont="1" applyFill="1"/>
    <xf numFmtId="0" fontId="6" fillId="0" borderId="12" xfId="0" applyFont="1" applyBorder="1" applyAlignment="1">
      <alignment horizontal="center" vertical="center"/>
    </xf>
    <xf numFmtId="0" fontId="6" fillId="0" borderId="13" xfId="0" applyFont="1" applyBorder="1" applyAlignment="1">
      <alignment horizontal="center" vertical="center"/>
    </xf>
    <xf numFmtId="166" fontId="5" fillId="2" borderId="0" xfId="0" applyNumberFormat="1" applyFont="1" applyFill="1"/>
    <xf numFmtId="166" fontId="5" fillId="2" borderId="12" xfId="0" applyNumberFormat="1" applyFont="1" applyFill="1" applyBorder="1"/>
    <xf numFmtId="0" fontId="11" fillId="6" borderId="21" xfId="0" applyFont="1" applyFill="1" applyBorder="1" applyAlignment="1">
      <alignment horizontal="right"/>
    </xf>
    <xf numFmtId="0" fontId="11" fillId="6" borderId="26" xfId="0" applyFont="1" applyFill="1" applyBorder="1" applyAlignment="1">
      <alignment horizontal="right"/>
    </xf>
    <xf numFmtId="166" fontId="0" fillId="4" borderId="45" xfId="0" applyNumberFormat="1" applyFill="1" applyBorder="1" applyAlignment="1">
      <alignment horizontal="right"/>
    </xf>
    <xf numFmtId="0" fontId="0" fillId="4" borderId="52" xfId="0" applyFill="1" applyBorder="1" applyAlignment="1">
      <alignment horizontal="right"/>
    </xf>
    <xf numFmtId="166" fontId="0" fillId="4" borderId="40" xfId="0" applyNumberFormat="1" applyFill="1" applyBorder="1" applyAlignment="1">
      <alignment horizontal="right"/>
    </xf>
    <xf numFmtId="166" fontId="0" fillId="4" borderId="24" xfId="0" applyNumberFormat="1" applyFill="1" applyBorder="1" applyAlignment="1">
      <alignment horizontal="right"/>
    </xf>
    <xf numFmtId="166" fontId="2" fillId="4" borderId="53" xfId="0" applyNumberFormat="1" applyFont="1" applyFill="1" applyBorder="1"/>
    <xf numFmtId="166" fontId="2" fillId="4" borderId="54" xfId="0" applyNumberFormat="1" applyFont="1" applyFill="1" applyBorder="1"/>
    <xf numFmtId="169" fontId="4" fillId="4" borderId="55" xfId="0" applyNumberFormat="1" applyFont="1" applyFill="1" applyBorder="1"/>
    <xf numFmtId="169" fontId="4" fillId="4" borderId="56" xfId="0" applyNumberFormat="1" applyFont="1" applyFill="1" applyBorder="1"/>
    <xf numFmtId="0" fontId="5" fillId="0" borderId="57" xfId="0" applyFont="1" applyBorder="1"/>
    <xf numFmtId="0" fontId="5" fillId="0" borderId="34" xfId="0" applyFont="1" applyBorder="1"/>
    <xf numFmtId="8" fontId="0" fillId="5" borderId="3" xfId="0" applyNumberFormat="1" applyFill="1" applyBorder="1" applyAlignment="1">
      <alignment horizontal="right" vertical="center"/>
    </xf>
    <xf numFmtId="0" fontId="12" fillId="6" borderId="33" xfId="0" applyFont="1" applyFill="1" applyBorder="1"/>
    <xf numFmtId="0" fontId="3" fillId="0" borderId="0" xfId="2" quotePrefix="1"/>
    <xf numFmtId="8" fontId="16" fillId="0" borderId="26" xfId="0" applyNumberFormat="1" applyFont="1" applyBorder="1"/>
    <xf numFmtId="0" fontId="2" fillId="7" borderId="7" xfId="0" applyFont="1" applyFill="1" applyBorder="1" applyAlignment="1">
      <alignment horizontal="right"/>
    </xf>
    <xf numFmtId="6" fontId="5" fillId="4" borderId="22" xfId="0" applyNumberFormat="1" applyFont="1" applyFill="1" applyBorder="1"/>
    <xf numFmtId="6" fontId="5" fillId="0" borderId="0" xfId="0" applyNumberFormat="1" applyFont="1"/>
    <xf numFmtId="166" fontId="5" fillId="0" borderId="16" xfId="0" applyNumberFormat="1" applyFont="1" applyBorder="1"/>
    <xf numFmtId="6" fontId="5" fillId="0" borderId="16" xfId="0" applyNumberFormat="1" applyFont="1" applyBorder="1"/>
    <xf numFmtId="0" fontId="17" fillId="4" borderId="40" xfId="0" applyFont="1" applyFill="1" applyBorder="1" applyAlignment="1">
      <alignment horizontal="left" vertical="center"/>
    </xf>
    <xf numFmtId="0" fontId="0" fillId="4" borderId="25" xfId="0" applyFill="1" applyBorder="1"/>
    <xf numFmtId="8" fontId="27" fillId="4" borderId="26" xfId="0" applyNumberFormat="1" applyFont="1" applyFill="1" applyBorder="1"/>
    <xf numFmtId="8" fontId="27" fillId="0" borderId="33" xfId="0" applyNumberFormat="1" applyFont="1" applyBorder="1"/>
    <xf numFmtId="8" fontId="27" fillId="0" borderId="36" xfId="0" applyNumberFormat="1" applyFont="1" applyBorder="1"/>
    <xf numFmtId="0" fontId="26" fillId="7" borderId="8" xfId="0" applyFont="1" applyFill="1" applyBorder="1" applyAlignment="1">
      <alignment horizontal="right" vertical="center"/>
    </xf>
    <xf numFmtId="8" fontId="16" fillId="4" borderId="51" xfId="0" applyNumberFormat="1" applyFont="1" applyFill="1" applyBorder="1"/>
    <xf numFmtId="6" fontId="5" fillId="4" borderId="50" xfId="0" applyNumberFormat="1" applyFont="1" applyFill="1" applyBorder="1"/>
    <xf numFmtId="8" fontId="27" fillId="0" borderId="26" xfId="0" applyNumberFormat="1" applyFont="1" applyBorder="1"/>
    <xf numFmtId="165" fontId="27" fillId="0" borderId="26" xfId="0" applyNumberFormat="1" applyFont="1" applyBorder="1"/>
    <xf numFmtId="165" fontId="27" fillId="0" borderId="33" xfId="0" applyNumberFormat="1" applyFont="1" applyBorder="1"/>
    <xf numFmtId="8" fontId="27" fillId="4" borderId="3" xfId="0" applyNumberFormat="1" applyFont="1" applyFill="1" applyBorder="1"/>
    <xf numFmtId="0" fontId="0" fillId="4" borderId="58" xfId="0" applyFill="1" applyBorder="1"/>
    <xf numFmtId="0" fontId="0" fillId="4" borderId="59" xfId="0" applyFill="1" applyBorder="1"/>
    <xf numFmtId="0" fontId="0" fillId="4" borderId="1" xfId="0" applyFill="1" applyBorder="1"/>
    <xf numFmtId="0" fontId="0" fillId="4" borderId="2" xfId="0" applyFill="1" applyBorder="1"/>
    <xf numFmtId="0" fontId="0" fillId="4" borderId="3" xfId="0" applyFill="1" applyBorder="1"/>
    <xf numFmtId="6" fontId="5" fillId="4" borderId="44" xfId="0" applyNumberFormat="1" applyFont="1" applyFill="1" applyBorder="1"/>
    <xf numFmtId="8" fontId="27" fillId="4" borderId="59" xfId="0" applyNumberFormat="1" applyFont="1" applyFill="1" applyBorder="1"/>
    <xf numFmtId="8" fontId="26" fillId="0" borderId="8" xfId="0" applyNumberFormat="1" applyFont="1" applyBorder="1"/>
    <xf numFmtId="8" fontId="26" fillId="0" borderId="10" xfId="0" applyNumberFormat="1" applyFont="1" applyBorder="1"/>
    <xf numFmtId="165" fontId="26" fillId="0" borderId="10" xfId="0" applyNumberFormat="1" applyFont="1" applyBorder="1"/>
    <xf numFmtId="165" fontId="26" fillId="0" borderId="13" xfId="0" applyNumberFormat="1" applyFont="1" applyBorder="1"/>
    <xf numFmtId="0" fontId="0" fillId="0" borderId="0" xfId="0" applyAlignment="1">
      <alignment horizontal="left" vertical="center" wrapText="1"/>
    </xf>
    <xf numFmtId="0" fontId="7" fillId="7" borderId="1" xfId="0" applyFont="1" applyFill="1" applyBorder="1" applyAlignment="1">
      <alignment horizontal="left" vertical="center" wrapText="1"/>
    </xf>
    <xf numFmtId="0" fontId="7" fillId="7" borderId="2" xfId="0" applyFont="1" applyFill="1" applyBorder="1" applyAlignment="1">
      <alignment horizontal="left" vertical="center" wrapText="1"/>
    </xf>
    <xf numFmtId="0" fontId="15" fillId="0" borderId="37" xfId="0" applyFont="1" applyBorder="1" applyAlignment="1">
      <alignment horizontal="left" wrapText="1"/>
    </xf>
    <xf numFmtId="0" fontId="15" fillId="0" borderId="0" xfId="0" applyFont="1" applyAlignment="1">
      <alignment horizontal="left" wrapText="1"/>
    </xf>
    <xf numFmtId="0" fontId="11" fillId="6" borderId="6" xfId="0" applyFont="1" applyFill="1" applyBorder="1" applyAlignment="1">
      <alignment horizontal="left" vertical="center" wrapText="1"/>
    </xf>
    <xf numFmtId="0" fontId="11" fillId="6" borderId="7" xfId="0" applyFont="1" applyFill="1" applyBorder="1" applyAlignment="1">
      <alignment horizontal="left" vertical="center" wrapText="1"/>
    </xf>
    <xf numFmtId="0" fontId="0" fillId="7" borderId="18" xfId="0" applyFill="1" applyBorder="1" applyAlignment="1">
      <alignment horizontal="left"/>
    </xf>
    <xf numFmtId="0" fontId="0" fillId="7" borderId="19" xfId="0" applyFill="1" applyBorder="1" applyAlignment="1">
      <alignment horizontal="left"/>
    </xf>
    <xf numFmtId="0" fontId="0" fillId="5" borderId="18" xfId="0" applyFill="1" applyBorder="1" applyAlignment="1">
      <alignment horizontal="center"/>
    </xf>
    <xf numFmtId="0" fontId="0" fillId="5" borderId="20" xfId="0" applyFill="1" applyBorder="1" applyAlignment="1">
      <alignment horizontal="center"/>
    </xf>
    <xf numFmtId="0" fontId="0" fillId="5" borderId="18" xfId="0" applyFill="1" applyBorder="1" applyAlignment="1">
      <alignment horizontal="center" vertical="center"/>
    </xf>
    <xf numFmtId="0" fontId="0" fillId="5" borderId="20" xfId="0" applyFill="1" applyBorder="1" applyAlignment="1">
      <alignment horizontal="center" vertical="center"/>
    </xf>
    <xf numFmtId="166" fontId="0" fillId="5" borderId="18" xfId="0" applyNumberFormat="1" applyFill="1" applyBorder="1" applyAlignment="1">
      <alignment horizontal="center" vertical="center"/>
    </xf>
    <xf numFmtId="166" fontId="0" fillId="5" borderId="20" xfId="0" applyNumberFormat="1" applyFill="1" applyBorder="1" applyAlignment="1">
      <alignment horizontal="center" vertical="center"/>
    </xf>
    <xf numFmtId="0" fontId="23" fillId="7" borderId="1" xfId="0" applyFont="1" applyFill="1" applyBorder="1" applyAlignment="1">
      <alignment horizontal="left" vertical="center" wrapText="1"/>
    </xf>
    <xf numFmtId="0" fontId="23" fillId="7" borderId="2" xfId="0" applyFont="1" applyFill="1" applyBorder="1" applyAlignment="1">
      <alignment horizontal="left" vertical="center" wrapText="1"/>
    </xf>
    <xf numFmtId="0" fontId="23" fillId="7" borderId="51" xfId="0" applyFont="1" applyFill="1" applyBorder="1" applyAlignment="1">
      <alignment horizontal="left" vertical="center" wrapText="1"/>
    </xf>
    <xf numFmtId="0" fontId="20" fillId="2" borderId="0" xfId="0" applyFont="1" applyFill="1" applyAlignment="1">
      <alignment horizontal="left" vertical="top" wrapText="1"/>
    </xf>
    <xf numFmtId="0" fontId="2" fillId="7" borderId="45" xfId="0" applyFont="1" applyFill="1" applyBorder="1" applyAlignment="1">
      <alignment horizontal="left" vertical="center" wrapText="1"/>
    </xf>
    <xf numFmtId="0" fontId="2" fillId="7" borderId="46" xfId="0" applyFont="1" applyFill="1" applyBorder="1" applyAlignment="1">
      <alignment horizontal="left" vertical="center" wrapText="1"/>
    </xf>
    <xf numFmtId="0" fontId="2" fillId="7" borderId="47" xfId="0" applyFont="1" applyFill="1" applyBorder="1" applyAlignment="1">
      <alignment horizontal="left" vertical="center" wrapText="1"/>
    </xf>
    <xf numFmtId="0" fontId="0" fillId="0" borderId="0" xfId="0" applyAlignment="1">
      <alignment horizontal="left" wrapText="1"/>
    </xf>
  </cellXfs>
  <cellStyles count="5">
    <cellStyle name="Lien hypertexte" xfId="2" builtinId="8"/>
    <cellStyle name="Milliers" xfId="3" builtinId="3"/>
    <cellStyle name="Monétaire" xfId="1" builtinId="4"/>
    <cellStyle name="Normal" xfId="0" builtinId="0"/>
    <cellStyle name="Pourcentage" xfId="4" builtinId="5"/>
  </cellStyles>
  <dxfs count="0"/>
  <tableStyles count="0" defaultTableStyle="TableStyleMedium2" defaultPivotStyle="PivotStyleLight16"/>
  <colors>
    <mruColors>
      <color rgb="FF0025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5417e41f-a602-407e-8970-f57fd9f32a10@EURP193.PROD.OUTLOOK.COM" TargetMode="External"/><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13</xdr:col>
      <xdr:colOff>192810</xdr:colOff>
      <xdr:row>29</xdr:row>
      <xdr:rowOff>38100</xdr:rowOff>
    </xdr:from>
    <xdr:to>
      <xdr:col>14</xdr:col>
      <xdr:colOff>60055</xdr:colOff>
      <xdr:row>32</xdr:row>
      <xdr:rowOff>50801</xdr:rowOff>
    </xdr:to>
    <xdr:pic>
      <xdr:nvPicPr>
        <xdr:cNvPr id="2" name="Image 1">
          <a:extLst>
            <a:ext uri="{FF2B5EF4-FFF2-40B4-BE49-F238E27FC236}">
              <a16:creationId xmlns:a16="http://schemas.microsoft.com/office/drawing/2014/main" id="{8D85F2DF-8E6A-5209-F34B-FE89236C5E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4660" y="4699000"/>
          <a:ext cx="629245" cy="56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501650</xdr:colOff>
      <xdr:row>29</xdr:row>
      <xdr:rowOff>19050</xdr:rowOff>
    </xdr:from>
    <xdr:to>
      <xdr:col>13</xdr:col>
      <xdr:colOff>100033</xdr:colOff>
      <xdr:row>32</xdr:row>
      <xdr:rowOff>146050</xdr:rowOff>
    </xdr:to>
    <xdr:pic>
      <xdr:nvPicPr>
        <xdr:cNvPr id="3" name="Image 2" descr="Take a waste">
          <a:extLst>
            <a:ext uri="{FF2B5EF4-FFF2-40B4-BE49-F238E27FC236}">
              <a16:creationId xmlns:a16="http://schemas.microsoft.com/office/drawing/2014/main" id="{E8A236F8-F6C1-7D8C-29E7-4103D567DC61}"/>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67500" y="4679950"/>
          <a:ext cx="1884383" cy="679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305955</xdr:colOff>
      <xdr:row>11</xdr:row>
      <xdr:rowOff>122670</xdr:rowOff>
    </xdr:from>
    <xdr:to>
      <xdr:col>9</xdr:col>
      <xdr:colOff>738909</xdr:colOff>
      <xdr:row>17</xdr:row>
      <xdr:rowOff>73785</xdr:rowOff>
    </xdr:to>
    <xdr:pic>
      <xdr:nvPicPr>
        <xdr:cNvPr id="4" name="Image 3">
          <a:extLst>
            <a:ext uri="{FF2B5EF4-FFF2-40B4-BE49-F238E27FC236}">
              <a16:creationId xmlns:a16="http://schemas.microsoft.com/office/drawing/2014/main" id="{495CD353-EF30-4171-A300-5F04444C28C8}"/>
            </a:ext>
          </a:extLst>
        </xdr:cNvPr>
        <xdr:cNvPicPr>
          <a:picLocks noChangeAspect="1"/>
        </xdr:cNvPicPr>
      </xdr:nvPicPr>
      <xdr:blipFill>
        <a:blip xmlns:r="http://schemas.openxmlformats.org/officeDocument/2006/relationships" r:embed="rId1"/>
        <a:stretch>
          <a:fillRect/>
        </a:stretch>
      </xdr:blipFill>
      <xdr:spPr>
        <a:xfrm>
          <a:off x="6401955" y="2166215"/>
          <a:ext cx="1194954" cy="1059479"/>
        </a:xfrm>
        <a:prstGeom prst="rect">
          <a:avLst/>
        </a:prstGeom>
      </xdr:spPr>
    </xdr:pic>
    <xdr:clientData/>
  </xdr:twoCellAnchor>
  <xdr:twoCellAnchor editAs="oneCell">
    <xdr:from>
      <xdr:col>6</xdr:col>
      <xdr:colOff>219379</xdr:colOff>
      <xdr:row>52</xdr:row>
      <xdr:rowOff>95250</xdr:rowOff>
    </xdr:from>
    <xdr:to>
      <xdr:col>7</xdr:col>
      <xdr:colOff>247651</xdr:colOff>
      <xdr:row>58</xdr:row>
      <xdr:rowOff>86865</xdr:rowOff>
    </xdr:to>
    <xdr:pic>
      <xdr:nvPicPr>
        <xdr:cNvPr id="5" name="Image 4" descr="Une image contenant texte, intérieur&#10;&#10;Description générée automatiquement">
          <a:extLst>
            <a:ext uri="{FF2B5EF4-FFF2-40B4-BE49-F238E27FC236}">
              <a16:creationId xmlns:a16="http://schemas.microsoft.com/office/drawing/2014/main" id="{74E8C8F4-F296-AD61-0FF3-2AEF5C7813BB}"/>
            </a:ext>
          </a:extLst>
        </xdr:cNvPr>
        <xdr:cNvPicPr>
          <a:picLocks noChangeAspect="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4702479" y="9645650"/>
          <a:ext cx="879172" cy="1172715"/>
        </a:xfrm>
        <a:prstGeom prst="rect">
          <a:avLst/>
        </a:prstGeom>
        <a:noFill/>
        <a:ln>
          <a:noFill/>
        </a:ln>
      </xdr:spPr>
    </xdr:pic>
    <xdr:clientData/>
  </xdr:twoCellAnchor>
  <xdr:twoCellAnchor editAs="oneCell">
    <xdr:from>
      <xdr:col>7</xdr:col>
      <xdr:colOff>711200</xdr:colOff>
      <xdr:row>52</xdr:row>
      <xdr:rowOff>76201</xdr:rowOff>
    </xdr:from>
    <xdr:to>
      <xdr:col>8</xdr:col>
      <xdr:colOff>642084</xdr:colOff>
      <xdr:row>58</xdr:row>
      <xdr:rowOff>127000</xdr:rowOff>
    </xdr:to>
    <xdr:pic>
      <xdr:nvPicPr>
        <xdr:cNvPr id="6" name="Image 5" descr="MyGreenGo (@MyGreenGo) / Twitter">
          <a:extLst>
            <a:ext uri="{FF2B5EF4-FFF2-40B4-BE49-F238E27FC236}">
              <a16:creationId xmlns:a16="http://schemas.microsoft.com/office/drawing/2014/main" id="{78D9C487-82E6-FB5C-D423-9DDA460791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45200" y="9626601"/>
          <a:ext cx="692884" cy="1231899"/>
        </a:xfrm>
        <a:prstGeom prst="rect">
          <a:avLst/>
        </a:prstGeom>
        <a:noFill/>
        <a:ln>
          <a:noFill/>
        </a:ln>
      </xdr:spPr>
    </xdr:pic>
    <xdr:clientData/>
  </xdr:twoCellAnchor>
  <xdr:twoCellAnchor editAs="oneCell">
    <xdr:from>
      <xdr:col>9</xdr:col>
      <xdr:colOff>107950</xdr:colOff>
      <xdr:row>52</xdr:row>
      <xdr:rowOff>92539</xdr:rowOff>
    </xdr:from>
    <xdr:to>
      <xdr:col>9</xdr:col>
      <xdr:colOff>698561</xdr:colOff>
      <xdr:row>58</xdr:row>
      <xdr:rowOff>222250</xdr:rowOff>
    </xdr:to>
    <xdr:pic>
      <xdr:nvPicPr>
        <xdr:cNvPr id="7" name="Image 6" descr="Une image contenant texte&#10;&#10;Description générée automatiquement">
          <a:extLst>
            <a:ext uri="{FF2B5EF4-FFF2-40B4-BE49-F238E27FC236}">
              <a16:creationId xmlns:a16="http://schemas.microsoft.com/office/drawing/2014/main" id="{53E3695D-D5A4-A3BC-8AEE-AEAEFF4DA42F}"/>
            </a:ext>
          </a:extLst>
        </xdr:cNvPr>
        <xdr:cNvPicPr>
          <a:picLocks noChangeAspect="1"/>
        </xdr:cNvPicPr>
      </xdr:nvPicPr>
      <xdr:blipFill>
        <a:blip xmlns:r="http://schemas.openxmlformats.org/officeDocument/2006/relationships" r:embed="rId5">
          <a:clrChange>
            <a:clrFrom>
              <a:srgbClr val="F9F9F9"/>
            </a:clrFrom>
            <a:clrTo>
              <a:srgbClr val="F9F9F9">
                <a:alpha val="0"/>
              </a:srgbClr>
            </a:clrTo>
          </a:clrChange>
        </a:blip>
        <a:stretch>
          <a:fillRect/>
        </a:stretch>
      </xdr:blipFill>
      <xdr:spPr>
        <a:xfrm>
          <a:off x="6965950" y="9642939"/>
          <a:ext cx="590611" cy="1310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135097</xdr:colOff>
      <xdr:row>18</xdr:row>
      <xdr:rowOff>120650</xdr:rowOff>
    </xdr:from>
    <xdr:to>
      <xdr:col>5</xdr:col>
      <xdr:colOff>428518</xdr:colOff>
      <xdr:row>23</xdr:row>
      <xdr:rowOff>121796</xdr:rowOff>
    </xdr:to>
    <xdr:pic>
      <xdr:nvPicPr>
        <xdr:cNvPr id="2" name="Image 1">
          <a:extLst>
            <a:ext uri="{FF2B5EF4-FFF2-40B4-BE49-F238E27FC236}">
              <a16:creationId xmlns:a16="http://schemas.microsoft.com/office/drawing/2014/main" id="{0B21323F-D273-49FE-A588-F1BD67634B06}"/>
            </a:ext>
          </a:extLst>
        </xdr:cNvPr>
        <xdr:cNvPicPr>
          <a:picLocks noChangeAspect="1"/>
        </xdr:cNvPicPr>
      </xdr:nvPicPr>
      <xdr:blipFill>
        <a:blip xmlns:r="http://schemas.openxmlformats.org/officeDocument/2006/relationships" r:embed="rId1"/>
        <a:stretch>
          <a:fillRect/>
        </a:stretch>
      </xdr:blipFill>
      <xdr:spPr>
        <a:xfrm>
          <a:off x="2116297" y="1606550"/>
          <a:ext cx="1055421" cy="921896"/>
        </a:xfrm>
        <a:prstGeom prst="rect">
          <a:avLst/>
        </a:prstGeom>
      </xdr:spPr>
    </xdr:pic>
    <xdr:clientData/>
  </xdr:twoCellAnchor>
  <xdr:twoCellAnchor editAs="oneCell">
    <xdr:from>
      <xdr:col>2</xdr:col>
      <xdr:colOff>144007</xdr:colOff>
      <xdr:row>15</xdr:row>
      <xdr:rowOff>74705</xdr:rowOff>
    </xdr:from>
    <xdr:to>
      <xdr:col>3</xdr:col>
      <xdr:colOff>646719</xdr:colOff>
      <xdr:row>26</xdr:row>
      <xdr:rowOff>2332</xdr:rowOff>
    </xdr:to>
    <xdr:pic>
      <xdr:nvPicPr>
        <xdr:cNvPr id="3" name="Image 2">
          <a:extLst>
            <a:ext uri="{FF2B5EF4-FFF2-40B4-BE49-F238E27FC236}">
              <a16:creationId xmlns:a16="http://schemas.microsoft.com/office/drawing/2014/main" id="{0B2ACC24-8F94-4811-B2F3-3F480DC537B0}"/>
            </a:ext>
          </a:extLst>
        </xdr:cNvPr>
        <xdr:cNvPicPr>
          <a:picLocks noChangeAspect="1"/>
        </xdr:cNvPicPr>
      </xdr:nvPicPr>
      <xdr:blipFill>
        <a:blip xmlns:r="http://schemas.openxmlformats.org/officeDocument/2006/relationships" r:embed="rId2"/>
        <a:stretch>
          <a:fillRect/>
        </a:stretch>
      </xdr:blipFill>
      <xdr:spPr>
        <a:xfrm>
          <a:off x="601207" y="1008155"/>
          <a:ext cx="1264712" cy="1953277"/>
        </a:xfrm>
        <a:prstGeom prst="rect">
          <a:avLst/>
        </a:prstGeom>
      </xdr:spPr>
    </xdr:pic>
    <xdr:clientData/>
  </xdr:twoCellAnchor>
  <xdr:twoCellAnchor editAs="oneCell">
    <xdr:from>
      <xdr:col>9</xdr:col>
      <xdr:colOff>101225</xdr:colOff>
      <xdr:row>18</xdr:row>
      <xdr:rowOff>86143</xdr:rowOff>
    </xdr:from>
    <xdr:to>
      <xdr:col>10</xdr:col>
      <xdr:colOff>666750</xdr:colOff>
      <xdr:row>25</xdr:row>
      <xdr:rowOff>148274</xdr:rowOff>
    </xdr:to>
    <xdr:pic>
      <xdr:nvPicPr>
        <xdr:cNvPr id="4" name="Image 3">
          <a:extLst>
            <a:ext uri="{FF2B5EF4-FFF2-40B4-BE49-F238E27FC236}">
              <a16:creationId xmlns:a16="http://schemas.microsoft.com/office/drawing/2014/main" id="{1FE3278D-201C-4D96-9C47-5A2724575424}"/>
            </a:ext>
          </a:extLst>
        </xdr:cNvPr>
        <xdr:cNvPicPr>
          <a:picLocks noChangeAspect="1"/>
        </xdr:cNvPicPr>
      </xdr:nvPicPr>
      <xdr:blipFill>
        <a:blip xmlns:r="http://schemas.openxmlformats.org/officeDocument/2006/relationships" r:embed="rId3"/>
        <a:stretch>
          <a:fillRect/>
        </a:stretch>
      </xdr:blipFill>
      <xdr:spPr>
        <a:xfrm>
          <a:off x="5130425" y="1572043"/>
          <a:ext cx="1327525" cy="1351181"/>
        </a:xfrm>
        <a:prstGeom prst="rect">
          <a:avLst/>
        </a:prstGeom>
      </xdr:spPr>
    </xdr:pic>
    <xdr:clientData/>
  </xdr:twoCellAnchor>
  <xdr:twoCellAnchor editAs="oneCell">
    <xdr:from>
      <xdr:col>10</xdr:col>
      <xdr:colOff>322011</xdr:colOff>
      <xdr:row>15</xdr:row>
      <xdr:rowOff>44451</xdr:rowOff>
    </xdr:from>
    <xdr:to>
      <xdr:col>11</xdr:col>
      <xdr:colOff>746005</xdr:colOff>
      <xdr:row>20</xdr:row>
      <xdr:rowOff>31750</xdr:rowOff>
    </xdr:to>
    <xdr:pic>
      <xdr:nvPicPr>
        <xdr:cNvPr id="5" name="Image 4">
          <a:extLst>
            <a:ext uri="{FF2B5EF4-FFF2-40B4-BE49-F238E27FC236}">
              <a16:creationId xmlns:a16="http://schemas.microsoft.com/office/drawing/2014/main" id="{DFA9B869-B282-4E0D-BBA8-7D415445DDBD}"/>
            </a:ext>
          </a:extLst>
        </xdr:cNvPr>
        <xdr:cNvPicPr>
          <a:picLocks noChangeAspect="1"/>
        </xdr:cNvPicPr>
      </xdr:nvPicPr>
      <xdr:blipFill>
        <a:blip xmlns:r="http://schemas.openxmlformats.org/officeDocument/2006/relationships" r:embed="rId4"/>
        <a:stretch>
          <a:fillRect/>
        </a:stretch>
      </xdr:blipFill>
      <xdr:spPr>
        <a:xfrm>
          <a:off x="6113211" y="1898651"/>
          <a:ext cx="1185994" cy="908049"/>
        </a:xfrm>
        <a:prstGeom prst="rect">
          <a:avLst/>
        </a:prstGeom>
      </xdr:spPr>
    </xdr:pic>
    <xdr:clientData/>
  </xdr:twoCellAnchor>
  <xdr:twoCellAnchor editAs="oneCell">
    <xdr:from>
      <xdr:col>6</xdr:col>
      <xdr:colOff>260350</xdr:colOff>
      <xdr:row>17</xdr:row>
      <xdr:rowOff>7363</xdr:rowOff>
    </xdr:from>
    <xdr:to>
      <xdr:col>8</xdr:col>
      <xdr:colOff>596899</xdr:colOff>
      <xdr:row>23</xdr:row>
      <xdr:rowOff>154619</xdr:rowOff>
    </xdr:to>
    <xdr:pic>
      <xdr:nvPicPr>
        <xdr:cNvPr id="6" name="Image 5">
          <a:extLst>
            <a:ext uri="{FF2B5EF4-FFF2-40B4-BE49-F238E27FC236}">
              <a16:creationId xmlns:a16="http://schemas.microsoft.com/office/drawing/2014/main" id="{B7BD70C8-FC2F-4E51-814C-0491A0DE8E55}"/>
            </a:ext>
          </a:extLst>
        </xdr:cNvPr>
        <xdr:cNvPicPr>
          <a:picLocks noChangeAspect="1"/>
        </xdr:cNvPicPr>
      </xdr:nvPicPr>
      <xdr:blipFill>
        <a:blip xmlns:r="http://schemas.openxmlformats.org/officeDocument/2006/relationships" r:embed="rId5"/>
        <a:stretch>
          <a:fillRect/>
        </a:stretch>
      </xdr:blipFill>
      <xdr:spPr>
        <a:xfrm>
          <a:off x="3003550" y="1309113"/>
          <a:ext cx="1860549" cy="125215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chets@takeawaste.f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delcourt.fr/Proprete-des-locaux/Produits-nettoyants/Nettoyants-cuisine/Produits-vaisselle-machine/289/Sun-liquide-10-L-pro" TargetMode="External"/><Relationship Id="rId2" Type="http://schemas.openxmlformats.org/officeDocument/2006/relationships/hyperlink" Target="https://www.negoce-chr.com/73654-tournus-echelle-pour-casiers-a-vaisselle-8-niveaux.html" TargetMode="External"/><Relationship Id="rId1" Type="http://schemas.openxmlformats.org/officeDocument/2006/relationships/hyperlink" Target="https://fr.metos.com/product/metos-lave-vaisselle-batterie-mixte-a-capot-wd-7e/" TargetMode="External"/><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https://www.delcourt.fr/Proprete-des-locaux/Produits-nettoyants/Nettoyants-cuisine/Produits-vaisselle-machine/284/Calgonit-Finish-rincage-5-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3:O33"/>
  <sheetViews>
    <sheetView showGridLines="0" view="pageBreakPreview" zoomScale="85" zoomScaleNormal="85" zoomScaleSheetLayoutView="85" workbookViewId="0">
      <selection activeCell="U13" sqref="U13"/>
    </sheetView>
  </sheetViews>
  <sheetFormatPr baseColWidth="10" defaultRowHeight="15" x14ac:dyDescent="0.25"/>
  <cols>
    <col min="1" max="1" width="3.85546875" customWidth="1"/>
    <col min="2" max="2" width="3.140625" customWidth="1"/>
    <col min="3" max="3" width="3.42578125" customWidth="1"/>
    <col min="15" max="16" width="4.140625" customWidth="1"/>
  </cols>
  <sheetData>
    <row r="3" spans="3:15" ht="18" customHeight="1" x14ac:dyDescent="0.25">
      <c r="C3" s="26"/>
      <c r="D3" s="27"/>
      <c r="E3" s="27"/>
      <c r="F3" s="27"/>
      <c r="G3" s="27"/>
      <c r="H3" s="27"/>
      <c r="I3" s="27"/>
      <c r="J3" s="27"/>
      <c r="K3" s="27"/>
      <c r="L3" s="27"/>
      <c r="M3" s="27"/>
      <c r="N3" s="27"/>
      <c r="O3" s="64"/>
    </row>
    <row r="4" spans="3:15" ht="15.75" x14ac:dyDescent="0.25">
      <c r="C4" s="28"/>
      <c r="D4" s="61" t="s">
        <v>78</v>
      </c>
      <c r="E4" s="62"/>
      <c r="F4" s="62"/>
      <c r="G4" s="62"/>
      <c r="H4" s="62"/>
      <c r="I4" s="62"/>
      <c r="J4" s="62"/>
      <c r="K4" s="62"/>
      <c r="L4" s="62"/>
      <c r="M4" s="62"/>
      <c r="N4" s="63"/>
      <c r="O4" s="29"/>
    </row>
    <row r="5" spans="3:15" ht="15.75" x14ac:dyDescent="0.25">
      <c r="C5" s="28"/>
      <c r="D5" s="60"/>
      <c r="O5" s="29"/>
    </row>
    <row r="6" spans="3:15" x14ac:dyDescent="0.25">
      <c r="C6" s="28"/>
      <c r="D6" t="s">
        <v>355</v>
      </c>
      <c r="O6" s="29"/>
    </row>
    <row r="7" spans="3:15" ht="123" customHeight="1" x14ac:dyDescent="0.25">
      <c r="C7" s="28"/>
      <c r="D7" s="497" t="s">
        <v>356</v>
      </c>
      <c r="E7" s="497"/>
      <c r="F7" s="497"/>
      <c r="G7" s="497"/>
      <c r="H7" s="497"/>
      <c r="I7" s="497"/>
      <c r="J7" s="497"/>
      <c r="K7" s="497"/>
      <c r="L7" s="497"/>
      <c r="M7" s="497"/>
      <c r="N7" s="497"/>
      <c r="O7" s="29"/>
    </row>
    <row r="8" spans="3:15" x14ac:dyDescent="0.25">
      <c r="C8" s="28"/>
      <c r="O8" s="29"/>
    </row>
    <row r="9" spans="3:15" x14ac:dyDescent="0.25">
      <c r="C9" s="28"/>
      <c r="O9" s="29"/>
    </row>
    <row r="10" spans="3:15" ht="15.75" x14ac:dyDescent="0.25">
      <c r="C10" s="28"/>
      <c r="D10" s="61" t="s">
        <v>79</v>
      </c>
      <c r="E10" s="62"/>
      <c r="F10" s="62"/>
      <c r="G10" s="62"/>
      <c r="H10" s="62"/>
      <c r="I10" s="62"/>
      <c r="J10" s="62"/>
      <c r="K10" s="62"/>
      <c r="L10" s="62"/>
      <c r="M10" s="62"/>
      <c r="N10" s="63"/>
      <c r="O10" s="29"/>
    </row>
    <row r="11" spans="3:15" ht="15.75" x14ac:dyDescent="0.25">
      <c r="C11" s="28"/>
      <c r="D11" s="60"/>
      <c r="O11" s="29"/>
    </row>
    <row r="12" spans="3:15" x14ac:dyDescent="0.25">
      <c r="C12" s="28"/>
      <c r="D12" s="337" t="s">
        <v>80</v>
      </c>
      <c r="O12" s="29"/>
    </row>
    <row r="13" spans="3:15" x14ac:dyDescent="0.25">
      <c r="C13" s="28"/>
      <c r="D13" s="338" t="s">
        <v>178</v>
      </c>
      <c r="M13" s="178"/>
      <c r="N13" s="179" t="s">
        <v>179</v>
      </c>
      <c r="O13" s="29"/>
    </row>
    <row r="14" spans="3:15" x14ac:dyDescent="0.25">
      <c r="C14" s="28"/>
      <c r="D14" s="338" t="s">
        <v>218</v>
      </c>
      <c r="M14" s="192"/>
      <c r="N14" s="193" t="s">
        <v>180</v>
      </c>
      <c r="O14" s="29"/>
    </row>
    <row r="15" spans="3:15" x14ac:dyDescent="0.25">
      <c r="C15" s="28"/>
      <c r="O15" s="29"/>
    </row>
    <row r="16" spans="3:15" ht="15.75" x14ac:dyDescent="0.25">
      <c r="C16" s="28"/>
      <c r="D16" s="61" t="s">
        <v>83</v>
      </c>
      <c r="E16" s="62"/>
      <c r="F16" s="62"/>
      <c r="G16" s="62"/>
      <c r="H16" s="62"/>
      <c r="I16" s="62"/>
      <c r="J16" s="62"/>
      <c r="K16" s="62"/>
      <c r="L16" s="62"/>
      <c r="M16" s="62"/>
      <c r="N16" s="63"/>
      <c r="O16" s="29"/>
    </row>
    <row r="17" spans="3:15" ht="9.4" customHeight="1" x14ac:dyDescent="0.25">
      <c r="C17" s="28"/>
      <c r="D17" s="60"/>
      <c r="O17" s="29"/>
    </row>
    <row r="18" spans="3:15" x14ac:dyDescent="0.25">
      <c r="C18" s="28"/>
      <c r="D18" s="66" t="s">
        <v>256</v>
      </c>
      <c r="F18" t="s">
        <v>330</v>
      </c>
      <c r="O18" s="29"/>
    </row>
    <row r="19" spans="3:15" x14ac:dyDescent="0.25">
      <c r="C19" s="28"/>
      <c r="D19" s="445" t="s">
        <v>334</v>
      </c>
      <c r="F19" t="s">
        <v>331</v>
      </c>
      <c r="O19" s="29"/>
    </row>
    <row r="20" spans="3:15" x14ac:dyDescent="0.25">
      <c r="C20" s="28"/>
      <c r="D20" s="66" t="s">
        <v>333</v>
      </c>
      <c r="F20" t="s">
        <v>332</v>
      </c>
      <c r="O20" s="29"/>
    </row>
    <row r="21" spans="3:15" x14ac:dyDescent="0.25">
      <c r="C21" s="28"/>
      <c r="D21" s="66" t="s">
        <v>257</v>
      </c>
      <c r="F21" t="s">
        <v>176</v>
      </c>
      <c r="O21" s="29"/>
    </row>
    <row r="22" spans="3:15" x14ac:dyDescent="0.25">
      <c r="C22" s="28"/>
      <c r="D22" s="66" t="s">
        <v>243</v>
      </c>
      <c r="F22" t="s">
        <v>175</v>
      </c>
      <c r="O22" s="29"/>
    </row>
    <row r="23" spans="3:15" x14ac:dyDescent="0.25">
      <c r="C23" s="28"/>
      <c r="D23" s="66" t="s">
        <v>258</v>
      </c>
      <c r="F23" t="s">
        <v>177</v>
      </c>
      <c r="O23" s="29"/>
    </row>
    <row r="24" spans="3:15" x14ac:dyDescent="0.25">
      <c r="C24" s="28"/>
      <c r="O24" s="29"/>
    </row>
    <row r="25" spans="3:15" ht="15.75" x14ac:dyDescent="0.25">
      <c r="C25" s="28"/>
      <c r="D25" s="61" t="s">
        <v>299</v>
      </c>
      <c r="E25" s="62"/>
      <c r="F25" s="62"/>
      <c r="G25" s="62"/>
      <c r="H25" s="62"/>
      <c r="I25" s="62"/>
      <c r="J25" s="62"/>
      <c r="K25" s="62"/>
      <c r="L25" s="62"/>
      <c r="M25" s="62"/>
      <c r="N25" s="63"/>
      <c r="O25" s="29"/>
    </row>
    <row r="26" spans="3:15" x14ac:dyDescent="0.25">
      <c r="C26" s="28"/>
      <c r="O26" s="29"/>
    </row>
    <row r="27" spans="3:15" x14ac:dyDescent="0.25">
      <c r="C27" s="28"/>
      <c r="D27" s="475" t="s">
        <v>352</v>
      </c>
      <c r="E27" s="475"/>
      <c r="F27" s="475"/>
      <c r="G27" s="475"/>
      <c r="H27" s="475"/>
      <c r="I27" s="475"/>
      <c r="J27" s="475"/>
      <c r="K27" s="475"/>
      <c r="L27" s="475"/>
      <c r="M27" s="475"/>
      <c r="N27" s="475"/>
      <c r="O27" s="29"/>
    </row>
    <row r="28" spans="3:15" x14ac:dyDescent="0.25">
      <c r="C28" s="28"/>
      <c r="D28" s="475"/>
      <c r="E28" s="475"/>
      <c r="F28" s="475"/>
      <c r="G28" s="475"/>
      <c r="H28" s="475"/>
      <c r="I28" s="475"/>
      <c r="J28" s="475"/>
      <c r="K28" s="475"/>
      <c r="L28" s="475"/>
      <c r="M28" s="475"/>
      <c r="N28" s="475"/>
      <c r="O28" s="29"/>
    </row>
    <row r="29" spans="3:15" x14ac:dyDescent="0.25">
      <c r="C29" s="28"/>
      <c r="D29" t="s">
        <v>300</v>
      </c>
      <c r="O29" s="29"/>
    </row>
    <row r="30" spans="3:15" x14ac:dyDescent="0.25">
      <c r="C30" s="28"/>
      <c r="D30" t="s">
        <v>301</v>
      </c>
      <c r="G30" s="362" t="s">
        <v>302</v>
      </c>
      <c r="O30" s="29"/>
    </row>
    <row r="31" spans="3:15" x14ac:dyDescent="0.25">
      <c r="C31" s="28"/>
      <c r="O31" s="29"/>
    </row>
    <row r="32" spans="3:15" x14ac:dyDescent="0.25">
      <c r="C32" s="28"/>
      <c r="O32" s="29"/>
    </row>
    <row r="33" spans="3:15" x14ac:dyDescent="0.25">
      <c r="C33" s="30"/>
      <c r="D33" s="31"/>
      <c r="E33" s="31"/>
      <c r="F33" s="31"/>
      <c r="G33" s="31"/>
      <c r="H33" s="31"/>
      <c r="I33" s="31"/>
      <c r="J33" s="31"/>
      <c r="K33" s="31"/>
      <c r="L33" s="31"/>
      <c r="M33" s="31"/>
      <c r="N33" s="31"/>
      <c r="O33" s="32"/>
    </row>
  </sheetData>
  <mergeCells count="2">
    <mergeCell ref="D27:N28"/>
    <mergeCell ref="D7:N7"/>
  </mergeCells>
  <hyperlinks>
    <hyperlink ref="D18" location="Contenants!A1" display="Contenants"/>
    <hyperlink ref="D21" location="Collecte!A1" display="Collecte"/>
    <hyperlink ref="D22" location="Lavage!A1" display="Lavage"/>
    <hyperlink ref="D23" location="Synthèse!A1" display="Synthèse"/>
    <hyperlink ref="G30" r:id="rId1"/>
    <hyperlink ref="D20" location="'Traçabilité Gestion Consigne'!Zone_d_impression" display="Traçabilité Gestion Consigne"/>
    <hyperlink ref="D19" location="'Caisses et meubles'!Zone_d_impression" display="Caisses et meubles"/>
  </hyperlinks>
  <pageMargins left="0.7" right="0.7" top="0.75" bottom="0.75" header="0.3" footer="0.3"/>
  <pageSetup paperSize="9" scale="58"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M74"/>
  <sheetViews>
    <sheetView showGridLines="0" view="pageBreakPreview" topLeftCell="B1" zoomScaleNormal="85" zoomScaleSheetLayoutView="100" workbookViewId="0">
      <selection activeCell="G31" sqref="G31:G32"/>
    </sheetView>
  </sheetViews>
  <sheetFormatPr baseColWidth="10" defaultRowHeight="15" x14ac:dyDescent="0.25"/>
  <cols>
    <col min="1" max="1" width="2.7109375" customWidth="1"/>
    <col min="2" max="2" width="3.7109375" customWidth="1"/>
    <col min="3" max="3" width="11.5703125" customWidth="1"/>
    <col min="6" max="6" width="22.7109375" customWidth="1"/>
    <col min="7" max="7" width="12.28515625" customWidth="1"/>
    <col min="10" max="10" width="12.28515625" customWidth="1"/>
  </cols>
  <sheetData>
    <row r="3" spans="2:12" x14ac:dyDescent="0.25">
      <c r="C3" s="178"/>
      <c r="D3" s="179" t="s">
        <v>179</v>
      </c>
    </row>
    <row r="4" spans="2:12" ht="14.65" customHeight="1" x14ac:dyDescent="0.25">
      <c r="B4" s="37"/>
      <c r="C4" s="192"/>
      <c r="D4" s="193" t="s">
        <v>180</v>
      </c>
      <c r="E4" s="37"/>
      <c r="F4" s="37"/>
      <c r="G4" s="37"/>
      <c r="H4" s="37"/>
    </row>
    <row r="5" spans="2:12" ht="14.65" customHeight="1" x14ac:dyDescent="0.25">
      <c r="B5" s="37"/>
      <c r="C5" s="37"/>
      <c r="D5" s="37"/>
      <c r="E5" s="37"/>
      <c r="F5" s="37"/>
      <c r="G5" s="37"/>
      <c r="H5" s="37"/>
    </row>
    <row r="6" spans="2:12" ht="14.65" customHeight="1" x14ac:dyDescent="0.25">
      <c r="B6" s="37"/>
      <c r="C6" s="67" t="s">
        <v>44</v>
      </c>
      <c r="D6" s="68"/>
      <c r="E6" s="68"/>
      <c r="F6" s="68"/>
      <c r="G6" s="68"/>
      <c r="H6" s="69"/>
      <c r="I6" s="70"/>
      <c r="J6" s="70"/>
    </row>
    <row r="7" spans="2:12" ht="14.65" customHeight="1" x14ac:dyDescent="0.25"/>
    <row r="8" spans="2:12" x14ac:dyDescent="0.25">
      <c r="C8" s="72" t="s">
        <v>98</v>
      </c>
      <c r="D8" s="73"/>
      <c r="E8" s="73"/>
      <c r="F8" s="73"/>
      <c r="G8" s="74"/>
    </row>
    <row r="9" spans="2:12" x14ac:dyDescent="0.25">
      <c r="C9" s="26" t="s">
        <v>38</v>
      </c>
      <c r="D9" s="27"/>
      <c r="E9" s="27"/>
      <c r="F9" s="27"/>
      <c r="G9" s="345">
        <v>5</v>
      </c>
    </row>
    <row r="10" spans="2:12" x14ac:dyDescent="0.25">
      <c r="C10" s="28" t="s">
        <v>39</v>
      </c>
      <c r="G10" s="33">
        <v>40</v>
      </c>
    </row>
    <row r="11" spans="2:12" x14ac:dyDescent="0.25">
      <c r="C11" s="30" t="s">
        <v>40</v>
      </c>
      <c r="D11" s="31"/>
      <c r="E11" s="31"/>
      <c r="F11" s="31"/>
      <c r="G11" s="32">
        <f>G9*G10</f>
        <v>200</v>
      </c>
      <c r="L11" s="39" t="s">
        <v>283</v>
      </c>
    </row>
    <row r="13" spans="2:12" x14ac:dyDescent="0.25">
      <c r="G13" s="339" t="s">
        <v>277</v>
      </c>
      <c r="H13" s="340" t="s">
        <v>278</v>
      </c>
      <c r="I13" s="340" t="s">
        <v>279</v>
      </c>
      <c r="J13" s="340" t="s">
        <v>0</v>
      </c>
    </row>
    <row r="14" spans="2:12" x14ac:dyDescent="0.25">
      <c r="C14" s="342" t="s">
        <v>84</v>
      </c>
      <c r="D14" s="343"/>
      <c r="E14" s="343"/>
      <c r="F14" s="344"/>
      <c r="G14" s="341">
        <v>5000</v>
      </c>
      <c r="H14" s="341">
        <v>10000</v>
      </c>
      <c r="I14" s="341">
        <v>5000</v>
      </c>
      <c r="J14" s="346">
        <f>SUM(G14:I14)</f>
        <v>20000</v>
      </c>
    </row>
    <row r="16" spans="2:12" ht="15.75" x14ac:dyDescent="0.25">
      <c r="C16" s="61" t="s">
        <v>281</v>
      </c>
      <c r="D16" s="62"/>
      <c r="E16" s="62"/>
      <c r="F16" s="62"/>
      <c r="G16" s="62"/>
      <c r="H16" s="62"/>
      <c r="I16" s="62"/>
      <c r="J16" s="62"/>
    </row>
    <row r="17" spans="3:13" ht="14.65" customHeight="1" x14ac:dyDescent="0.25">
      <c r="C17" s="1"/>
      <c r="D17" s="1"/>
      <c r="E17" s="1"/>
      <c r="F17" s="1"/>
      <c r="G17" s="1"/>
      <c r="H17" s="1"/>
    </row>
    <row r="18" spans="3:13" ht="34.15" customHeight="1" x14ac:dyDescent="0.25">
      <c r="C18" s="476" t="s">
        <v>349</v>
      </c>
      <c r="D18" s="477"/>
      <c r="E18" s="477"/>
      <c r="F18" s="477"/>
      <c r="G18" s="339" t="s">
        <v>277</v>
      </c>
      <c r="H18" s="340" t="s">
        <v>278</v>
      </c>
      <c r="I18" s="340" t="s">
        <v>279</v>
      </c>
      <c r="J18" s="340" t="s">
        <v>0</v>
      </c>
      <c r="K18" s="39" t="s">
        <v>288</v>
      </c>
    </row>
    <row r="19" spans="3:13" x14ac:dyDescent="0.25">
      <c r="C19" s="342" t="s">
        <v>280</v>
      </c>
      <c r="D19" s="343"/>
      <c r="E19" s="343"/>
      <c r="F19" s="344"/>
      <c r="G19" s="346">
        <f>G14</f>
        <v>5000</v>
      </c>
      <c r="H19" s="346">
        <f t="shared" ref="H19:I19" si="0">H14</f>
        <v>10000</v>
      </c>
      <c r="I19" s="346">
        <f t="shared" si="0"/>
        <v>5000</v>
      </c>
      <c r="J19" s="346">
        <f>SUM(G19:I19)</f>
        <v>20000</v>
      </c>
    </row>
    <row r="20" spans="3:13" x14ac:dyDescent="0.25">
      <c r="C20" s="342" t="s">
        <v>282</v>
      </c>
      <c r="D20" s="343"/>
      <c r="E20" s="343"/>
      <c r="F20" s="344"/>
      <c r="G20" s="347">
        <v>0.35</v>
      </c>
      <c r="H20" s="347">
        <v>0.45</v>
      </c>
      <c r="I20" s="347">
        <v>0.35</v>
      </c>
      <c r="J20" s="348"/>
    </row>
    <row r="21" spans="3:13" x14ac:dyDescent="0.25">
      <c r="C21" s="342" t="s">
        <v>284</v>
      </c>
      <c r="D21" s="343"/>
      <c r="E21" s="343"/>
      <c r="F21" s="343"/>
      <c r="G21" s="349">
        <f>G20*G19</f>
        <v>1750</v>
      </c>
      <c r="H21" s="349">
        <f t="shared" ref="H21:I21" si="1">H20*H19</f>
        <v>4500</v>
      </c>
      <c r="I21" s="349">
        <f t="shared" si="1"/>
        <v>1750</v>
      </c>
      <c r="J21" s="349">
        <f>SUM(G21:I21)</f>
        <v>8000</v>
      </c>
    </row>
    <row r="22" spans="3:13" x14ac:dyDescent="0.25">
      <c r="C22" s="342" t="s">
        <v>285</v>
      </c>
      <c r="D22" s="343"/>
      <c r="E22" s="343"/>
      <c r="F22" s="343"/>
      <c r="G22" s="350"/>
      <c r="H22" s="351"/>
      <c r="I22" s="352"/>
      <c r="J22" s="353">
        <v>0</v>
      </c>
      <c r="K22" s="230" t="s">
        <v>289</v>
      </c>
    </row>
    <row r="23" spans="3:13" x14ac:dyDescent="0.25">
      <c r="C23" s="342" t="s">
        <v>286</v>
      </c>
      <c r="D23" s="343"/>
      <c r="E23" s="343"/>
      <c r="F23" s="343"/>
      <c r="G23" s="350"/>
      <c r="H23" s="351"/>
      <c r="I23" s="352"/>
      <c r="J23" s="354">
        <v>0.8</v>
      </c>
      <c r="K23" s="39" t="s">
        <v>287</v>
      </c>
    </row>
    <row r="24" spans="3:13" x14ac:dyDescent="0.25">
      <c r="C24" s="342" t="s">
        <v>290</v>
      </c>
      <c r="D24" s="343"/>
      <c r="E24" s="343"/>
      <c r="F24" s="343"/>
      <c r="G24" s="351"/>
      <c r="H24" s="351"/>
      <c r="I24" s="352"/>
      <c r="J24" s="349">
        <f>J23*J22</f>
        <v>0</v>
      </c>
      <c r="K24" s="39"/>
    </row>
    <row r="25" spans="3:13" x14ac:dyDescent="0.25">
      <c r="C25" s="342" t="s">
        <v>291</v>
      </c>
      <c r="D25" s="343"/>
      <c r="E25" s="343"/>
      <c r="F25" s="343"/>
      <c r="G25" s="351"/>
      <c r="H25" s="351"/>
      <c r="I25" s="352"/>
      <c r="J25" s="355">
        <f>J21+J24</f>
        <v>8000</v>
      </c>
      <c r="K25" s="39"/>
    </row>
    <row r="27" spans="3:13" ht="15.75" x14ac:dyDescent="0.25">
      <c r="C27" s="61" t="s">
        <v>275</v>
      </c>
      <c r="D27" s="62"/>
      <c r="E27" s="62"/>
      <c r="F27" s="62"/>
      <c r="G27" s="62"/>
      <c r="H27" s="62"/>
      <c r="I27" s="62"/>
      <c r="J27" s="62"/>
    </row>
    <row r="28" spans="3:13" ht="14.65" customHeight="1" x14ac:dyDescent="0.25">
      <c r="C28" s="1"/>
      <c r="D28" s="1"/>
      <c r="E28" s="1"/>
      <c r="F28" s="1"/>
      <c r="G28" s="1"/>
      <c r="H28" s="1"/>
    </row>
    <row r="29" spans="3:13" ht="34.15" customHeight="1" x14ac:dyDescent="0.25">
      <c r="C29" s="476" t="s">
        <v>350</v>
      </c>
      <c r="D29" s="477"/>
      <c r="E29" s="477"/>
      <c r="F29" s="477"/>
      <c r="G29" s="78" t="s">
        <v>85</v>
      </c>
      <c r="H29" s="79" t="s">
        <v>86</v>
      </c>
      <c r="I29" s="80" t="s">
        <v>87</v>
      </c>
      <c r="J29" s="478" t="s">
        <v>166</v>
      </c>
      <c r="K29" s="479"/>
      <c r="L29" s="479"/>
      <c r="M29" s="479"/>
    </row>
    <row r="30" spans="3:13" x14ac:dyDescent="0.25">
      <c r="C30" s="26" t="s">
        <v>280</v>
      </c>
      <c r="D30" s="27"/>
      <c r="E30" s="27"/>
      <c r="F30" s="27"/>
      <c r="G30" s="194">
        <v>5000</v>
      </c>
      <c r="H30" s="195">
        <v>10000</v>
      </c>
      <c r="I30" s="196">
        <v>5000</v>
      </c>
      <c r="J30" s="39" t="s">
        <v>101</v>
      </c>
    </row>
    <row r="31" spans="3:13" x14ac:dyDescent="0.25">
      <c r="C31" s="28" t="s">
        <v>41</v>
      </c>
      <c r="G31" s="83">
        <v>0.9</v>
      </c>
      <c r="H31" s="35">
        <v>0.95</v>
      </c>
      <c r="I31" s="84">
        <v>0.95</v>
      </c>
      <c r="J31" s="39" t="s">
        <v>91</v>
      </c>
    </row>
    <row r="32" spans="3:13" x14ac:dyDescent="0.25">
      <c r="C32" s="28" t="s">
        <v>42</v>
      </c>
      <c r="G32" s="85">
        <v>0.1</v>
      </c>
      <c r="H32" s="36">
        <v>0.1</v>
      </c>
      <c r="I32" s="86">
        <v>0.1</v>
      </c>
      <c r="J32" s="39" t="s">
        <v>92</v>
      </c>
    </row>
    <row r="33" spans="3:10" x14ac:dyDescent="0.25">
      <c r="C33" s="28" t="s">
        <v>43</v>
      </c>
      <c r="G33" s="81">
        <f>ROUNDUP(G30/$G$11,0)</f>
        <v>25</v>
      </c>
      <c r="H33" s="38">
        <f>ROUNDUP(H30/$G$11,0)</f>
        <v>50</v>
      </c>
      <c r="I33" s="82">
        <f>ROUNDUP(I30/$G$11,0)</f>
        <v>25</v>
      </c>
      <c r="J33" s="39"/>
    </row>
    <row r="34" spans="3:10" x14ac:dyDescent="0.25">
      <c r="C34" s="28" t="s">
        <v>102</v>
      </c>
      <c r="G34" s="103">
        <f>1/(1-(G31*(1-G32)))</f>
        <v>5.2631578947368434</v>
      </c>
      <c r="H34" s="104">
        <f>1/(1-(H31*(1-H32)))</f>
        <v>6.8965517241379306</v>
      </c>
      <c r="I34" s="105">
        <f>1/(1-(I31*(1-I32)))</f>
        <v>6.8965517241379306</v>
      </c>
      <c r="J34" s="39" t="s">
        <v>93</v>
      </c>
    </row>
    <row r="35" spans="3:10" x14ac:dyDescent="0.25">
      <c r="C35" s="75" t="s">
        <v>103</v>
      </c>
      <c r="D35" s="76"/>
      <c r="E35" s="76"/>
      <c r="F35" s="76"/>
      <c r="G35" s="106">
        <f>G36+G37</f>
        <v>5</v>
      </c>
      <c r="H35" s="106">
        <f>H36+H37</f>
        <v>5</v>
      </c>
      <c r="I35" s="106">
        <f>I36+I37</f>
        <v>5</v>
      </c>
      <c r="J35" s="40" t="s">
        <v>94</v>
      </c>
    </row>
    <row r="36" spans="3:10" x14ac:dyDescent="0.25">
      <c r="C36" s="109" t="s">
        <v>96</v>
      </c>
      <c r="G36" s="87">
        <v>3</v>
      </c>
      <c r="H36" s="87">
        <v>3</v>
      </c>
      <c r="I36" s="87">
        <v>3</v>
      </c>
      <c r="J36" s="39" t="s">
        <v>99</v>
      </c>
    </row>
    <row r="37" spans="3:10" x14ac:dyDescent="0.25">
      <c r="C37" s="109" t="s">
        <v>97</v>
      </c>
      <c r="G37" s="87">
        <v>2</v>
      </c>
      <c r="H37" s="87">
        <v>2</v>
      </c>
      <c r="I37" s="87">
        <v>2</v>
      </c>
      <c r="J37" s="40" t="s">
        <v>100</v>
      </c>
    </row>
    <row r="38" spans="3:10" x14ac:dyDescent="0.25">
      <c r="C38" s="109" t="s">
        <v>104</v>
      </c>
      <c r="G38" s="85">
        <v>0.8</v>
      </c>
      <c r="H38" s="85">
        <v>0.8</v>
      </c>
      <c r="I38" s="108">
        <v>0.8</v>
      </c>
      <c r="J38" s="40" t="s">
        <v>95</v>
      </c>
    </row>
    <row r="39" spans="3:10" x14ac:dyDescent="0.25">
      <c r="C39" s="91" t="s">
        <v>114</v>
      </c>
      <c r="G39" s="89">
        <f>G33*(1+G38)*G35</f>
        <v>225</v>
      </c>
      <c r="H39" s="89">
        <f>H33*(1+H38)*H35</f>
        <v>450</v>
      </c>
      <c r="I39" s="89">
        <f>I33*(1+I38)*I35</f>
        <v>225</v>
      </c>
      <c r="J39" s="40" t="s">
        <v>105</v>
      </c>
    </row>
    <row r="40" spans="3:10" x14ac:dyDescent="0.25">
      <c r="C40" s="75" t="s">
        <v>1</v>
      </c>
      <c r="D40" s="76"/>
      <c r="E40" s="76"/>
      <c r="F40" s="90"/>
      <c r="G40" s="97">
        <v>750</v>
      </c>
      <c r="H40" s="98">
        <v>350</v>
      </c>
      <c r="I40" s="98">
        <v>750</v>
      </c>
    </row>
    <row r="41" spans="3:10" x14ac:dyDescent="0.25">
      <c r="C41" s="91" t="s">
        <v>2</v>
      </c>
      <c r="F41" s="92"/>
      <c r="G41" s="97">
        <v>169</v>
      </c>
      <c r="H41" s="98">
        <v>135</v>
      </c>
      <c r="I41" s="98">
        <v>169</v>
      </c>
      <c r="J41" s="40" t="s">
        <v>139</v>
      </c>
    </row>
    <row r="42" spans="3:10" x14ac:dyDescent="0.25">
      <c r="C42" s="91" t="s">
        <v>81</v>
      </c>
      <c r="F42" s="92"/>
      <c r="G42" s="97">
        <v>159</v>
      </c>
      <c r="H42" s="98">
        <v>125</v>
      </c>
      <c r="I42" s="98">
        <v>159</v>
      </c>
      <c r="J42" s="40" t="s">
        <v>139</v>
      </c>
    </row>
    <row r="43" spans="3:10" x14ac:dyDescent="0.25">
      <c r="C43" s="91" t="s">
        <v>3</v>
      </c>
      <c r="F43" s="92"/>
      <c r="G43" s="97">
        <v>68</v>
      </c>
      <c r="H43" s="98">
        <v>58</v>
      </c>
      <c r="I43" s="98">
        <v>68</v>
      </c>
    </row>
    <row r="44" spans="3:10" x14ac:dyDescent="0.25">
      <c r="C44" s="91" t="s">
        <v>124</v>
      </c>
      <c r="F44" s="92"/>
      <c r="G44" s="97">
        <v>25</v>
      </c>
      <c r="H44" s="98">
        <v>25</v>
      </c>
      <c r="I44" s="98">
        <v>25</v>
      </c>
      <c r="J44" s="40" t="s">
        <v>134</v>
      </c>
    </row>
    <row r="45" spans="3:10" x14ac:dyDescent="0.25">
      <c r="C45" s="91" t="s">
        <v>142</v>
      </c>
      <c r="F45" s="92"/>
      <c r="G45" s="131">
        <v>180</v>
      </c>
      <c r="H45" s="132">
        <v>90</v>
      </c>
      <c r="I45" s="132">
        <v>180</v>
      </c>
    </row>
    <row r="46" spans="3:10" x14ac:dyDescent="0.25">
      <c r="C46" s="77" t="s">
        <v>143</v>
      </c>
      <c r="D46" s="65"/>
      <c r="E46" s="65"/>
      <c r="F46" s="93"/>
      <c r="G46" s="130">
        <v>10</v>
      </c>
      <c r="H46" s="99">
        <v>10</v>
      </c>
      <c r="I46" s="99">
        <v>10</v>
      </c>
    </row>
    <row r="47" spans="3:10" x14ac:dyDescent="0.25">
      <c r="C47" s="94" t="s">
        <v>106</v>
      </c>
      <c r="D47" s="95"/>
      <c r="E47" s="95"/>
      <c r="F47" s="96"/>
      <c r="G47" s="100">
        <v>2</v>
      </c>
      <c r="H47" s="101">
        <v>2.5</v>
      </c>
      <c r="I47" s="101">
        <v>2</v>
      </c>
      <c r="J47" s="40" t="s">
        <v>123</v>
      </c>
    </row>
    <row r="48" spans="3:10" x14ac:dyDescent="0.25">
      <c r="C48" s="94" t="s">
        <v>322</v>
      </c>
      <c r="D48" s="95"/>
      <c r="E48" s="95"/>
      <c r="F48" s="96"/>
      <c r="G48" s="443">
        <v>0.1</v>
      </c>
      <c r="H48" s="443">
        <v>0.1</v>
      </c>
      <c r="I48" s="443">
        <v>0.1</v>
      </c>
      <c r="J48" s="40" t="s">
        <v>323</v>
      </c>
    </row>
    <row r="49" spans="3:11" x14ac:dyDescent="0.25">
      <c r="C49" s="94" t="s">
        <v>107</v>
      </c>
      <c r="D49" s="95"/>
      <c r="E49" s="95"/>
      <c r="F49" s="96"/>
      <c r="G49" s="100">
        <f>ROUNDUP(G47,0)</f>
        <v>2</v>
      </c>
      <c r="H49" s="100">
        <f>ROUNDUP(H47,0)</f>
        <v>3</v>
      </c>
      <c r="I49" s="100">
        <f>ROUNDUP(I47,0)</f>
        <v>2</v>
      </c>
      <c r="J49" s="40" t="s">
        <v>169</v>
      </c>
    </row>
    <row r="50" spans="3:11" x14ac:dyDescent="0.25">
      <c r="H50" s="1"/>
      <c r="J50" s="1"/>
    </row>
    <row r="51" spans="3:11" ht="28.5" customHeight="1" x14ac:dyDescent="0.25">
      <c r="C51" s="476" t="s">
        <v>113</v>
      </c>
      <c r="D51" s="477"/>
      <c r="E51" s="477"/>
      <c r="F51" s="477"/>
      <c r="G51" s="78" t="s">
        <v>85</v>
      </c>
      <c r="H51" s="114" t="s">
        <v>86</v>
      </c>
      <c r="I51" s="167" t="s">
        <v>87</v>
      </c>
      <c r="J51" s="140" t="s">
        <v>0</v>
      </c>
    </row>
    <row r="52" spans="3:11" x14ac:dyDescent="0.25">
      <c r="C52" s="75" t="s">
        <v>108</v>
      </c>
      <c r="D52" s="76"/>
      <c r="E52" s="76"/>
      <c r="F52" s="76"/>
      <c r="G52" s="110">
        <f>G$33-G$55</f>
        <v>4.75</v>
      </c>
      <c r="H52" s="110">
        <f>H$33-H$55</f>
        <v>7.25</v>
      </c>
      <c r="I52" s="168">
        <f>I$33-I$55</f>
        <v>3.625</v>
      </c>
      <c r="J52" s="116">
        <f>SUM(G52:I52)</f>
        <v>15.625</v>
      </c>
    </row>
    <row r="53" spans="3:11" x14ac:dyDescent="0.25">
      <c r="C53" s="91" t="s">
        <v>109</v>
      </c>
      <c r="G53" s="111">
        <f>G$31*G$33</f>
        <v>22.5</v>
      </c>
      <c r="H53" s="111">
        <f>H$31*H$33</f>
        <v>47.5</v>
      </c>
      <c r="I53" s="169">
        <f>I$31*I$33</f>
        <v>23.75</v>
      </c>
      <c r="J53" s="117">
        <f>SUM(G53:I53)</f>
        <v>93.75</v>
      </c>
    </row>
    <row r="54" spans="3:11" x14ac:dyDescent="0.25">
      <c r="C54" s="91" t="s">
        <v>110</v>
      </c>
      <c r="G54" s="111">
        <f>G$53*G$32</f>
        <v>2.25</v>
      </c>
      <c r="H54" s="111">
        <f>H$53*H$32</f>
        <v>4.75</v>
      </c>
      <c r="I54" s="169">
        <f>I$53*I$32</f>
        <v>2.375</v>
      </c>
      <c r="J54" s="117">
        <f>SUM(G54:I54)</f>
        <v>9.375</v>
      </c>
    </row>
    <row r="55" spans="3:11" x14ac:dyDescent="0.25">
      <c r="C55" s="77" t="s">
        <v>111</v>
      </c>
      <c r="D55" s="65"/>
      <c r="E55" s="65"/>
      <c r="F55" s="65"/>
      <c r="G55" s="112">
        <f>G53-G54</f>
        <v>20.25</v>
      </c>
      <c r="H55" s="112">
        <f>H53-H54</f>
        <v>42.75</v>
      </c>
      <c r="I55" s="112">
        <f>I53-I54</f>
        <v>21.375</v>
      </c>
      <c r="J55" s="118">
        <f>J53-J54</f>
        <v>84.375</v>
      </c>
      <c r="K55" s="164"/>
    </row>
    <row r="56" spans="3:11" x14ac:dyDescent="0.25">
      <c r="C56" s="482" t="s">
        <v>112</v>
      </c>
      <c r="D56" s="483"/>
      <c r="E56" s="483"/>
      <c r="F56" s="483"/>
      <c r="G56" s="119">
        <f>SUM(G52+G55)</f>
        <v>25</v>
      </c>
      <c r="H56" s="113">
        <f>SUM(H52+H55)</f>
        <v>50</v>
      </c>
      <c r="I56" s="170">
        <f t="shared" ref="I56:J56" si="2">SUM(I52+I55)</f>
        <v>25</v>
      </c>
      <c r="J56" s="119">
        <f t="shared" si="2"/>
        <v>100</v>
      </c>
    </row>
    <row r="57" spans="3:11" x14ac:dyDescent="0.25">
      <c r="H57" s="1"/>
    </row>
    <row r="58" spans="3:11" ht="30" x14ac:dyDescent="0.25">
      <c r="C58" s="480" t="s">
        <v>276</v>
      </c>
      <c r="D58" s="481"/>
      <c r="E58" s="481"/>
      <c r="F58" s="481"/>
      <c r="G58" s="78" t="s">
        <v>85</v>
      </c>
      <c r="H58" s="79" t="s">
        <v>86</v>
      </c>
      <c r="I58" s="80" t="s">
        <v>87</v>
      </c>
      <c r="J58" s="140" t="s">
        <v>0</v>
      </c>
    </row>
    <row r="59" spans="3:11" x14ac:dyDescent="0.25">
      <c r="C59" s="146" t="s">
        <v>157</v>
      </c>
      <c r="D59" s="143"/>
      <c r="E59" s="143"/>
      <c r="F59" s="143"/>
      <c r="G59" s="165"/>
      <c r="H59" s="144"/>
      <c r="I59" s="144"/>
      <c r="J59" s="142"/>
    </row>
    <row r="60" spans="3:11" x14ac:dyDescent="0.25">
      <c r="C60" s="91" t="s">
        <v>117</v>
      </c>
      <c r="G60" s="175">
        <f>G52*$G$11+G$39</f>
        <v>1175</v>
      </c>
      <c r="H60" s="176">
        <f>H52*$G$11+H$39</f>
        <v>1900</v>
      </c>
      <c r="I60" s="176">
        <f>I52*$G$11+I$39</f>
        <v>950</v>
      </c>
      <c r="J60" s="177">
        <f>SUM(G60:I60)</f>
        <v>4025</v>
      </c>
    </row>
    <row r="61" spans="3:11" x14ac:dyDescent="0.25">
      <c r="C61" s="91" t="s">
        <v>115</v>
      </c>
      <c r="G61" s="166">
        <f>G60*(G$47+G$48)</f>
        <v>2467.5</v>
      </c>
      <c r="H61" s="120">
        <f t="shared" ref="H61:I61" si="3">H60*(H$47+H$48)</f>
        <v>4940</v>
      </c>
      <c r="I61" s="120">
        <f t="shared" si="3"/>
        <v>1995</v>
      </c>
      <c r="J61" s="145">
        <f>SUM(G61:I61)</f>
        <v>9402.5</v>
      </c>
    </row>
    <row r="62" spans="3:11" x14ac:dyDescent="0.25">
      <c r="C62" s="91" t="s">
        <v>116</v>
      </c>
      <c r="G62" s="166">
        <f>-(G$56-G$53)*G$49*$G$11</f>
        <v>-1000</v>
      </c>
      <c r="H62" s="120">
        <f>-(H$56-H$53)*H$49*$G$11</f>
        <v>-1500</v>
      </c>
      <c r="I62" s="120">
        <f>-(I$56-I$53)*I$49*$G$11</f>
        <v>-500</v>
      </c>
      <c r="J62" s="145">
        <f>SUM(G62:I62)</f>
        <v>-3000</v>
      </c>
    </row>
    <row r="63" spans="3:11" x14ac:dyDescent="0.25">
      <c r="C63" s="147" t="s">
        <v>119</v>
      </c>
      <c r="D63" s="148"/>
      <c r="E63" s="148"/>
      <c r="F63" s="148"/>
      <c r="G63" s="186">
        <f>G61+G62</f>
        <v>1467.5</v>
      </c>
      <c r="H63" s="187">
        <f>H61+H62</f>
        <v>3440</v>
      </c>
      <c r="I63" s="187">
        <f>I61+I62</f>
        <v>1495</v>
      </c>
      <c r="J63" s="188">
        <f>SUM(G63:I63)</f>
        <v>6402.5</v>
      </c>
    </row>
    <row r="64" spans="3:11" x14ac:dyDescent="0.25">
      <c r="C64" s="149" t="s">
        <v>127</v>
      </c>
      <c r="D64" s="150"/>
      <c r="E64" s="150"/>
      <c r="F64" s="150"/>
      <c r="G64" s="189">
        <f>G63/G$30</f>
        <v>0.29349999999999998</v>
      </c>
      <c r="H64" s="190">
        <f t="shared" ref="H64:I64" si="4">H63/H$30</f>
        <v>0.34399999999999997</v>
      </c>
      <c r="I64" s="190">
        <f t="shared" si="4"/>
        <v>0.29899999999999999</v>
      </c>
      <c r="J64" s="191">
        <f>J63/SUM(G30:I30)</f>
        <v>0.32012499999999999</v>
      </c>
    </row>
    <row r="65" spans="3:10" x14ac:dyDescent="0.25">
      <c r="C65" s="146" t="s">
        <v>158</v>
      </c>
      <c r="D65" s="143"/>
      <c r="E65" s="143"/>
      <c r="F65" s="143"/>
      <c r="G65" s="165"/>
      <c r="H65" s="144"/>
      <c r="I65" s="144"/>
      <c r="J65" s="142"/>
    </row>
    <row r="66" spans="3:10" x14ac:dyDescent="0.25">
      <c r="C66" s="91" t="s">
        <v>120</v>
      </c>
      <c r="G66" s="175">
        <f>G$52*$G$11</f>
        <v>950</v>
      </c>
      <c r="H66" s="176">
        <f>H$52*$G$11</f>
        <v>1450</v>
      </c>
      <c r="I66" s="176">
        <f>I$52*$G$11</f>
        <v>725</v>
      </c>
      <c r="J66" s="177">
        <f>SUM(G66:I66)</f>
        <v>3125</v>
      </c>
    </row>
    <row r="67" spans="3:10" x14ac:dyDescent="0.25">
      <c r="C67" s="91" t="s">
        <v>121</v>
      </c>
      <c r="G67" s="166">
        <f>G66*G$47</f>
        <v>1900</v>
      </c>
      <c r="H67" s="120">
        <f>H66*H$47</f>
        <v>3625</v>
      </c>
      <c r="I67" s="120">
        <f>I66*I$47</f>
        <v>1450</v>
      </c>
      <c r="J67" s="145">
        <f>SUM(G67:I67)</f>
        <v>6975</v>
      </c>
    </row>
    <row r="68" spans="3:10" x14ac:dyDescent="0.25">
      <c r="C68" s="91" t="s">
        <v>118</v>
      </c>
      <c r="G68" s="166">
        <f>-(G$56-G$53)*G$49*$G$11</f>
        <v>-1000</v>
      </c>
      <c r="H68" s="120">
        <f>-(H$56-H$53)*H$49*$G$11</f>
        <v>-1500</v>
      </c>
      <c r="I68" s="120">
        <f>-(I$56-I$53)*I$49*$G$11</f>
        <v>-500</v>
      </c>
      <c r="J68" s="145">
        <f>SUM(G68:I68)</f>
        <v>-3000</v>
      </c>
    </row>
    <row r="69" spans="3:10" x14ac:dyDescent="0.25">
      <c r="C69" s="147" t="s">
        <v>122</v>
      </c>
      <c r="D69" s="148"/>
      <c r="E69" s="148"/>
      <c r="F69" s="148"/>
      <c r="G69" s="186">
        <f>G67+G68</f>
        <v>900</v>
      </c>
      <c r="H69" s="187">
        <f t="shared" ref="H69:I69" si="5">H67+H68</f>
        <v>2125</v>
      </c>
      <c r="I69" s="187">
        <f t="shared" si="5"/>
        <v>950</v>
      </c>
      <c r="J69" s="188">
        <f>SUM(G69:I69)</f>
        <v>3975</v>
      </c>
    </row>
    <row r="70" spans="3:10" x14ac:dyDescent="0.25">
      <c r="C70" s="149" t="s">
        <v>128</v>
      </c>
      <c r="D70" s="150"/>
      <c r="E70" s="150"/>
      <c r="F70" s="150"/>
      <c r="G70" s="189">
        <f>G69/G$30</f>
        <v>0.18</v>
      </c>
      <c r="H70" s="190">
        <f t="shared" ref="H70:I70" si="6">H69/H$30</f>
        <v>0.21249999999999999</v>
      </c>
      <c r="I70" s="190">
        <f t="shared" si="6"/>
        <v>0.19</v>
      </c>
      <c r="J70" s="191">
        <f>J69/SUM(G30:I30)</f>
        <v>0.19875000000000001</v>
      </c>
    </row>
    <row r="72" spans="3:10" x14ac:dyDescent="0.25">
      <c r="C72" s="160" t="s">
        <v>324</v>
      </c>
      <c r="D72" s="161"/>
      <c r="E72" s="161"/>
      <c r="F72" s="161"/>
      <c r="G72" s="162" t="s">
        <v>156</v>
      </c>
      <c r="H72" s="163" t="s">
        <v>162</v>
      </c>
    </row>
    <row r="73" spans="3:10" x14ac:dyDescent="0.25">
      <c r="C73" s="75" t="s">
        <v>163</v>
      </c>
      <c r="D73" s="76"/>
      <c r="E73" s="76"/>
      <c r="F73" s="76"/>
      <c r="G73" s="180">
        <f>J63</f>
        <v>6402.5</v>
      </c>
      <c r="H73" s="181">
        <f>J69</f>
        <v>3975</v>
      </c>
    </row>
    <row r="74" spans="3:10" x14ac:dyDescent="0.25">
      <c r="C74" s="173" t="s">
        <v>170</v>
      </c>
      <c r="D74" s="174"/>
      <c r="E74" s="174"/>
      <c r="F74" s="174"/>
      <c r="G74" s="183">
        <f>G73/SUM($G$30:$I$30)</f>
        <v>0.32012499999999999</v>
      </c>
      <c r="H74" s="184">
        <f>H73/SUM($G$30:$I$30)</f>
        <v>0.19875000000000001</v>
      </c>
    </row>
  </sheetData>
  <mergeCells count="6">
    <mergeCell ref="C18:F18"/>
    <mergeCell ref="J29:M29"/>
    <mergeCell ref="C58:F58"/>
    <mergeCell ref="C51:F51"/>
    <mergeCell ref="C56:F56"/>
    <mergeCell ref="C29:F29"/>
  </mergeCells>
  <pageMargins left="0.7" right="0.7" top="0.75" bottom="0.75" header="0.3" footer="0.3"/>
  <pageSetup paperSize="9" scale="57" orientation="portrait" horizontalDpi="4294967293" r:id="rId1"/>
  <colBreaks count="1" manualBreakCount="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J96"/>
  <sheetViews>
    <sheetView showGridLines="0" view="pageBreakPreview" zoomScaleNormal="100" zoomScaleSheetLayoutView="100" workbookViewId="0">
      <selection activeCell="C6" sqref="C6"/>
    </sheetView>
  </sheetViews>
  <sheetFormatPr baseColWidth="10" defaultRowHeight="15" x14ac:dyDescent="0.25"/>
  <cols>
    <col min="1" max="1" width="2.7109375" customWidth="1"/>
    <col min="2" max="2" width="5.28515625" customWidth="1"/>
    <col min="3" max="3" width="11.5703125" customWidth="1"/>
    <col min="6" max="6" width="22.7109375" customWidth="1"/>
    <col min="7" max="7" width="12.28515625" customWidth="1"/>
    <col min="10" max="10" width="12.28515625" customWidth="1"/>
  </cols>
  <sheetData>
    <row r="3" spans="2:10" x14ac:dyDescent="0.25">
      <c r="C3" s="178"/>
      <c r="D3" s="179" t="s">
        <v>179</v>
      </c>
    </row>
    <row r="4" spans="2:10" ht="14.65" customHeight="1" x14ac:dyDescent="0.25">
      <c r="B4" s="37"/>
      <c r="C4" s="192"/>
      <c r="D4" s="193" t="s">
        <v>180</v>
      </c>
      <c r="E4" s="37"/>
      <c r="F4" s="37"/>
      <c r="G4" s="37"/>
      <c r="H4" s="37"/>
    </row>
    <row r="5" spans="2:10" ht="14.65" customHeight="1" x14ac:dyDescent="0.25">
      <c r="B5" s="37"/>
      <c r="C5" s="37"/>
      <c r="D5" s="37"/>
      <c r="E5" s="37"/>
      <c r="F5" s="37"/>
      <c r="G5" s="37"/>
      <c r="H5" s="37"/>
    </row>
    <row r="6" spans="2:10" ht="15.75" x14ac:dyDescent="0.25">
      <c r="C6" s="61" t="s">
        <v>125</v>
      </c>
      <c r="D6" s="62"/>
      <c r="E6" s="62"/>
      <c r="F6" s="62"/>
      <c r="G6" s="62"/>
      <c r="H6" s="62"/>
      <c r="I6" s="62"/>
      <c r="J6" s="62"/>
    </row>
    <row r="8" spans="2:10" x14ac:dyDescent="0.25">
      <c r="C8" t="s">
        <v>126</v>
      </c>
    </row>
    <row r="9" spans="2:10" x14ac:dyDescent="0.25">
      <c r="C9" t="s">
        <v>129</v>
      </c>
    </row>
    <row r="10" spans="2:10" x14ac:dyDescent="0.25">
      <c r="C10" s="1" t="s">
        <v>307</v>
      </c>
      <c r="D10" s="6"/>
      <c r="E10" s="6"/>
      <c r="F10" s="6"/>
      <c r="G10" s="21"/>
      <c r="H10" s="5"/>
      <c r="I10" s="7"/>
      <c r="J10" s="21"/>
    </row>
    <row r="11" spans="2:10" x14ac:dyDescent="0.25">
      <c r="H11" s="5"/>
      <c r="I11" s="7"/>
      <c r="J11" s="21"/>
    </row>
    <row r="12" spans="2:10" x14ac:dyDescent="0.25">
      <c r="C12" s="122" t="s">
        <v>165</v>
      </c>
      <c r="D12" s="123"/>
      <c r="E12" s="123"/>
      <c r="F12" s="123"/>
      <c r="G12" s="126" t="s">
        <v>132</v>
      </c>
      <c r="H12" s="126" t="s">
        <v>133</v>
      </c>
    </row>
    <row r="13" spans="2:10" x14ac:dyDescent="0.25">
      <c r="C13" s="77" t="s">
        <v>2</v>
      </c>
      <c r="D13" s="65"/>
      <c r="E13" s="65"/>
      <c r="F13" s="65"/>
      <c r="G13" s="125">
        <v>400</v>
      </c>
      <c r="H13" s="125">
        <v>390</v>
      </c>
    </row>
    <row r="14" spans="2:10" x14ac:dyDescent="0.25">
      <c r="C14" s="94" t="s">
        <v>81</v>
      </c>
      <c r="D14" s="95"/>
      <c r="E14" s="95"/>
      <c r="F14" s="95"/>
      <c r="G14" s="125">
        <v>600</v>
      </c>
      <c r="H14" s="125">
        <v>490</v>
      </c>
    </row>
    <row r="15" spans="2:10" x14ac:dyDescent="0.25">
      <c r="C15" s="94" t="s">
        <v>3</v>
      </c>
      <c r="D15" s="95"/>
      <c r="E15" s="95"/>
      <c r="F15" s="95"/>
      <c r="G15" s="125">
        <v>230</v>
      </c>
      <c r="H15" s="125">
        <v>220</v>
      </c>
    </row>
    <row r="16" spans="2:10" x14ac:dyDescent="0.25">
      <c r="C16" s="94" t="s">
        <v>82</v>
      </c>
      <c r="D16" s="95"/>
      <c r="E16" s="95"/>
      <c r="F16" s="95"/>
      <c r="G16" s="484">
        <v>35</v>
      </c>
      <c r="H16" s="485"/>
    </row>
    <row r="17" spans="3:10" x14ac:dyDescent="0.25">
      <c r="C17" s="94" t="s">
        <v>4</v>
      </c>
      <c r="D17" s="95"/>
      <c r="E17" s="95"/>
      <c r="F17" s="95"/>
      <c r="G17" s="486">
        <v>2460</v>
      </c>
      <c r="H17" s="487"/>
    </row>
    <row r="18" spans="3:10" x14ac:dyDescent="0.25">
      <c r="C18" s="94" t="s">
        <v>45</v>
      </c>
      <c r="D18" s="95"/>
      <c r="E18" s="95"/>
      <c r="F18" s="95"/>
      <c r="G18" s="488">
        <v>30</v>
      </c>
      <c r="H18" s="489"/>
    </row>
    <row r="19" spans="3:10" x14ac:dyDescent="0.25">
      <c r="H19" s="5"/>
      <c r="I19" s="7"/>
      <c r="J19" s="21"/>
    </row>
    <row r="20" spans="3:10" ht="30" x14ac:dyDescent="0.25">
      <c r="G20" s="78" t="s">
        <v>85</v>
      </c>
      <c r="H20" s="79" t="s">
        <v>86</v>
      </c>
      <c r="I20" s="80" t="s">
        <v>87</v>
      </c>
    </row>
    <row r="21" spans="3:10" s="363" customFormat="1" ht="12.75" x14ac:dyDescent="0.2">
      <c r="C21" s="364"/>
      <c r="D21" s="365"/>
      <c r="E21" s="365"/>
      <c r="F21" s="413" t="s">
        <v>130</v>
      </c>
      <c r="G21" s="414">
        <f>ROUNDDOWN(($H$15-G$89)/G$90,0)</f>
        <v>6</v>
      </c>
      <c r="H21" s="414">
        <f>ROUNDDOWN(($H$15-H$89)/H$90,0)</f>
        <v>6</v>
      </c>
      <c r="I21" s="414">
        <f>ROUNDDOWN(($H$15-I$89)/I$90,0)</f>
        <v>6</v>
      </c>
      <c r="J21" s="415"/>
    </row>
    <row r="22" spans="3:10" s="363" customFormat="1" ht="12.75" x14ac:dyDescent="0.2">
      <c r="C22" s="366"/>
      <c r="F22" s="416" t="s">
        <v>131</v>
      </c>
      <c r="G22" s="417">
        <f>MAX(ROUNDDOWN($H$13/G$87,0)*ROUNDDOWN($H$14/G$88,0),ROUNDDOWN($H$13/G$88,0)*ROUNDDOWN($H$14/G$87,0))</f>
        <v>6</v>
      </c>
      <c r="H22" s="417">
        <f>MAX(ROUNDDOWN($H$13/H$87,0)*ROUNDDOWN($H$14/H$88,0),ROUNDDOWN($H$13/H$88,0)*ROUNDDOWN($H$14/H$87,0))</f>
        <v>9</v>
      </c>
      <c r="I22" s="417">
        <f>MAX(ROUNDDOWN($H$13/I$87,0)*ROUNDDOWN($H$14/I$88,0),ROUNDDOWN($H$13/I$88,0)*ROUNDDOWN($H$14/I$87,0))</f>
        <v>6</v>
      </c>
      <c r="J22" s="415"/>
    </row>
    <row r="23" spans="3:10" s="363" customFormat="1" ht="12.75" x14ac:dyDescent="0.2">
      <c r="C23" s="366"/>
      <c r="F23" s="416" t="s">
        <v>140</v>
      </c>
      <c r="G23" s="417">
        <f>G22*G21</f>
        <v>36</v>
      </c>
      <c r="H23" s="417">
        <f>H22*H21</f>
        <v>54</v>
      </c>
      <c r="I23" s="417">
        <f>I22*I21</f>
        <v>36</v>
      </c>
      <c r="J23" s="415"/>
    </row>
    <row r="24" spans="3:10" s="363" customFormat="1" ht="12.75" x14ac:dyDescent="0.2">
      <c r="C24" s="366"/>
      <c r="F24" s="416" t="s">
        <v>144</v>
      </c>
      <c r="G24" s="417">
        <f>ROUNDUP(G$23*G$92/$H$15,0)</f>
        <v>2</v>
      </c>
      <c r="H24" s="417">
        <f>ROUNDUP(H$23*H$92/$H$15,0)</f>
        <v>3</v>
      </c>
      <c r="I24" s="417">
        <f>ROUNDUP(I$23*I$92/$H$15,0)</f>
        <v>2</v>
      </c>
      <c r="J24" s="415"/>
    </row>
    <row r="25" spans="3:10" s="363" customFormat="1" ht="12.75" x14ac:dyDescent="0.2">
      <c r="C25" s="418"/>
      <c r="D25" s="419"/>
      <c r="E25" s="419"/>
      <c r="F25" s="420" t="s">
        <v>145</v>
      </c>
      <c r="G25" s="421">
        <f>(G22-G24)*G21</f>
        <v>24</v>
      </c>
      <c r="H25" s="421">
        <f t="shared" ref="H25:I25" si="0">(H22-H24)*H21</f>
        <v>36</v>
      </c>
      <c r="I25" s="421">
        <f t="shared" si="0"/>
        <v>24</v>
      </c>
      <c r="J25" s="415"/>
    </row>
    <row r="26" spans="3:10" s="363" customFormat="1" ht="12.75" x14ac:dyDescent="0.2">
      <c r="C26" s="364"/>
      <c r="D26" s="365"/>
      <c r="E26" s="365"/>
      <c r="F26" s="413" t="s">
        <v>135</v>
      </c>
      <c r="G26" s="414">
        <f>ROUNDDOWN(($H$14-G$89)/G$90,0)</f>
        <v>16</v>
      </c>
      <c r="H26" s="414">
        <f>ROUNDDOWN(($H$14-H$89)/H$90,0)</f>
        <v>17</v>
      </c>
      <c r="I26" s="414">
        <f>ROUNDDOWN(($H$14-I$89)/I$90,0)</f>
        <v>16</v>
      </c>
    </row>
    <row r="27" spans="3:10" s="363" customFormat="1" ht="12.75" x14ac:dyDescent="0.2">
      <c r="C27" s="366"/>
      <c r="F27" s="416" t="s">
        <v>136</v>
      </c>
      <c r="G27" s="417">
        <f>MAX(ROUNDDOWN($H$13/G$87,0)*ROUNDDOWN($H$15/G$88,0),ROUNDDOWN($H$13/G$88,0)*ROUNDDOWN($H$15/G$87,0))</f>
        <v>2</v>
      </c>
      <c r="H27" s="417">
        <f>MAX(ROUNDDOWN($H$13/H$87,0)*ROUNDDOWN($H$15/H$88,0),ROUNDDOWN($H$13/H$88,0)*ROUNDDOWN($H$15/H$87,0))</f>
        <v>3</v>
      </c>
      <c r="I27" s="417">
        <f>MAX(ROUNDDOWN($H$13/I$87,0)*ROUNDDOWN($H$15/I$88,0),ROUNDDOWN($H$13/I$88,0)*ROUNDDOWN($H$15/I$87,0))</f>
        <v>2</v>
      </c>
    </row>
    <row r="28" spans="3:10" s="363" customFormat="1" ht="12.75" x14ac:dyDescent="0.2">
      <c r="C28" s="366"/>
      <c r="F28" s="416" t="s">
        <v>141</v>
      </c>
      <c r="G28" s="417">
        <f>G26*G27</f>
        <v>32</v>
      </c>
      <c r="H28" s="417">
        <f>H26*H27</f>
        <v>51</v>
      </c>
      <c r="I28" s="417">
        <f>I26*I27</f>
        <v>32</v>
      </c>
      <c r="J28" s="415"/>
    </row>
    <row r="29" spans="3:10" s="363" customFormat="1" ht="12.75" x14ac:dyDescent="0.2">
      <c r="C29" s="366"/>
      <c r="F29" s="416" t="s">
        <v>146</v>
      </c>
      <c r="G29" s="417">
        <f>ROUNDUP((G28*G$92)/G$89,0)</f>
        <v>5</v>
      </c>
      <c r="H29" s="417">
        <f>ROUNDUP((H28*H$92)/H$89,0)</f>
        <v>9</v>
      </c>
      <c r="I29" s="417">
        <f>ROUNDUP((I28*I$92)/I$89,0)</f>
        <v>5</v>
      </c>
      <c r="J29" s="415"/>
    </row>
    <row r="30" spans="3:10" s="363" customFormat="1" ht="12.75" x14ac:dyDescent="0.2">
      <c r="C30" s="418"/>
      <c r="D30" s="419"/>
      <c r="E30" s="419"/>
      <c r="F30" s="420" t="s">
        <v>149</v>
      </c>
      <c r="G30" s="421">
        <f>G28-G29</f>
        <v>27</v>
      </c>
      <c r="H30" s="421">
        <f t="shared" ref="H30:I30" si="1">H28-H29</f>
        <v>42</v>
      </c>
      <c r="I30" s="421">
        <f t="shared" si="1"/>
        <v>27</v>
      </c>
      <c r="J30" s="415"/>
    </row>
    <row r="31" spans="3:10" s="363" customFormat="1" ht="12.75" x14ac:dyDescent="0.2">
      <c r="C31" s="364"/>
      <c r="D31" s="365"/>
      <c r="E31" s="365"/>
      <c r="F31" s="413" t="s">
        <v>137</v>
      </c>
      <c r="G31" s="414">
        <f>ROUNDDOWN(($H$13-G$89)/G$90,0)</f>
        <v>12</v>
      </c>
      <c r="H31" s="414">
        <f>ROUNDDOWN(($H$13-H$89)/H$90,0)</f>
        <v>13</v>
      </c>
      <c r="I31" s="414">
        <f>ROUNDDOWN(($H$13-I$89)/I$90,0)</f>
        <v>12</v>
      </c>
      <c r="J31" s="422"/>
    </row>
    <row r="32" spans="3:10" s="363" customFormat="1" ht="12.75" x14ac:dyDescent="0.2">
      <c r="C32" s="366"/>
      <c r="F32" s="416" t="s">
        <v>138</v>
      </c>
      <c r="G32" s="417">
        <f>MAX(ROUNDDOWN($H$14/G87,0)*ROUNDDOWN($H$15/G88,0),ROUNDDOWN($H$14/G88,0)*ROUNDDOWN($H$15/G87,0))</f>
        <v>3</v>
      </c>
      <c r="H32" s="417">
        <f>MAX(ROUNDDOWN($H$14/H87,0)*ROUNDDOWN($H$15/H88,0),ROUNDDOWN($H$14/H88,0)*ROUNDDOWN($H$15/H87,0))</f>
        <v>3</v>
      </c>
      <c r="I32" s="417">
        <f>MAX(ROUNDDOWN($H$14/I87,0)*ROUNDDOWN($H$15/I88,0),ROUNDDOWN($H$14/I88,0)*ROUNDDOWN($H$15/I87,0))</f>
        <v>3</v>
      </c>
      <c r="J32" s="415"/>
    </row>
    <row r="33" spans="2:10" s="363" customFormat="1" ht="12.75" x14ac:dyDescent="0.2">
      <c r="C33" s="366"/>
      <c r="F33" s="416" t="s">
        <v>147</v>
      </c>
      <c r="G33" s="417">
        <f>G31*G32</f>
        <v>36</v>
      </c>
      <c r="H33" s="417">
        <f t="shared" ref="H33:I33" si="2">H31*H32</f>
        <v>39</v>
      </c>
      <c r="I33" s="417">
        <f t="shared" si="2"/>
        <v>36</v>
      </c>
      <c r="J33" s="415"/>
    </row>
    <row r="34" spans="2:10" s="363" customFormat="1" ht="12.75" x14ac:dyDescent="0.2">
      <c r="C34" s="366"/>
      <c r="F34" s="416" t="s">
        <v>144</v>
      </c>
      <c r="G34" s="417">
        <f>ROUNDUP((G33*G$92)/G$89,0)</f>
        <v>6</v>
      </c>
      <c r="H34" s="417">
        <f>ROUNDUP((H33*H$92)/H$89,0)</f>
        <v>7</v>
      </c>
      <c r="I34" s="417">
        <f>ROUNDUP((I33*I$92)/I$89,0)</f>
        <v>6</v>
      </c>
      <c r="J34" s="415"/>
    </row>
    <row r="35" spans="2:10" s="363" customFormat="1" ht="12.75" x14ac:dyDescent="0.2">
      <c r="C35" s="418"/>
      <c r="D35" s="419"/>
      <c r="E35" s="419"/>
      <c r="F35" s="420" t="s">
        <v>150</v>
      </c>
      <c r="G35" s="421">
        <f>G33-G34</f>
        <v>30</v>
      </c>
      <c r="H35" s="421">
        <f t="shared" ref="H35:I35" si="3">H33-H34</f>
        <v>32</v>
      </c>
      <c r="I35" s="421">
        <f t="shared" si="3"/>
        <v>30</v>
      </c>
      <c r="J35" s="415"/>
    </row>
    <row r="36" spans="2:10" x14ac:dyDescent="0.25">
      <c r="C36" s="153"/>
      <c r="D36" s="154"/>
      <c r="E36" s="154"/>
      <c r="F36" s="155" t="s">
        <v>148</v>
      </c>
      <c r="G36" s="156">
        <f>MAX(G25,G30,G35)</f>
        <v>30</v>
      </c>
      <c r="H36" s="156">
        <f>MAX(H25,H30,H35)</f>
        <v>42</v>
      </c>
      <c r="I36" s="156">
        <f>MAX(I25,I30,I35)</f>
        <v>30</v>
      </c>
      <c r="J36" s="40"/>
    </row>
    <row r="37" spans="2:10" x14ac:dyDescent="0.25">
      <c r="C37" s="77"/>
      <c r="D37" s="65"/>
      <c r="E37" s="65"/>
      <c r="F37" s="171" t="s">
        <v>151</v>
      </c>
      <c r="G37" s="172">
        <f>G36*G91/1000+$G$17/1000</f>
        <v>7.86</v>
      </c>
      <c r="H37" s="172">
        <f>H36*H91/1000+$G$17/1000</f>
        <v>6.24</v>
      </c>
      <c r="I37" s="172">
        <f>I36*I91/1000+$G$17/1000</f>
        <v>7.86</v>
      </c>
      <c r="J37" s="40" t="s">
        <v>167</v>
      </c>
    </row>
    <row r="38" spans="2:10" x14ac:dyDescent="0.25">
      <c r="J38" s="21"/>
    </row>
    <row r="39" spans="2:10" x14ac:dyDescent="0.25">
      <c r="C39" s="159" t="s">
        <v>159</v>
      </c>
      <c r="D39" s="157"/>
      <c r="E39" s="157"/>
      <c r="F39" s="158"/>
      <c r="G39" s="151" t="s">
        <v>88</v>
      </c>
      <c r="H39" s="151" t="s">
        <v>89</v>
      </c>
      <c r="I39" s="152" t="s">
        <v>161</v>
      </c>
      <c r="J39" s="141" t="s">
        <v>0</v>
      </c>
    </row>
    <row r="40" spans="2:10" x14ac:dyDescent="0.25">
      <c r="C40" s="75"/>
      <c r="D40" s="76"/>
      <c r="E40" s="76"/>
      <c r="F40" s="137" t="s">
        <v>152</v>
      </c>
      <c r="G40" s="127">
        <f>ROUNDUP(Contenants!G53/G36,0)</f>
        <v>1</v>
      </c>
      <c r="H40" s="127">
        <f>ROUNDUP(Contenants!H53/H36,0)</f>
        <v>2</v>
      </c>
      <c r="I40" s="127">
        <f>ROUNDUP(Contenants!I53/I36,0)</f>
        <v>1</v>
      </c>
      <c r="J40" s="90">
        <f>SUM(G40:I40)</f>
        <v>4</v>
      </c>
    </row>
    <row r="41" spans="2:10" x14ac:dyDescent="0.25">
      <c r="C41" s="91"/>
      <c r="F41" s="121" t="s">
        <v>153</v>
      </c>
      <c r="G41" s="129">
        <f>ROUNDUP((Contenants!G53*G83)/G36,0)</f>
        <v>2</v>
      </c>
      <c r="H41" s="129">
        <f>ROUNDUP((Contenants!H53*H83)/H36,0)</f>
        <v>3</v>
      </c>
      <c r="I41" s="129">
        <f>ROUNDUP((Contenants!I53*I83)/I36,0)</f>
        <v>2</v>
      </c>
      <c r="J41" s="92">
        <f t="shared" ref="J41:J43" si="4">SUM(G41:I41)</f>
        <v>7</v>
      </c>
    </row>
    <row r="42" spans="2:10" x14ac:dyDescent="0.25">
      <c r="C42" s="91"/>
      <c r="F42" s="121" t="s">
        <v>160</v>
      </c>
      <c r="G42" s="129">
        <f>G41</f>
        <v>2</v>
      </c>
      <c r="H42" s="129">
        <f t="shared" ref="H42:J42" si="5">H41</f>
        <v>3</v>
      </c>
      <c r="I42" s="129">
        <f t="shared" si="5"/>
        <v>2</v>
      </c>
      <c r="J42" s="129">
        <f t="shared" si="5"/>
        <v>7</v>
      </c>
    </row>
    <row r="43" spans="2:10" x14ac:dyDescent="0.25">
      <c r="C43" s="91"/>
      <c r="F43" s="121" t="s">
        <v>154</v>
      </c>
      <c r="G43" s="129">
        <f>SUM(G41:G42)</f>
        <v>4</v>
      </c>
      <c r="H43" s="129">
        <f>2*H41</f>
        <v>6</v>
      </c>
      <c r="I43" s="92">
        <f>2*I41</f>
        <v>4</v>
      </c>
      <c r="J43" s="444">
        <f t="shared" si="4"/>
        <v>14</v>
      </c>
    </row>
    <row r="44" spans="2:10" x14ac:dyDescent="0.25">
      <c r="C44" s="91"/>
      <c r="F44" s="121" t="s">
        <v>168</v>
      </c>
      <c r="G44" s="129"/>
      <c r="H44" s="129"/>
      <c r="I44" s="92"/>
      <c r="J44" s="92">
        <f>ROUNDUP(J43/ROUNDDOWN(1650/G15,0),0)*(G13*G14/1000000)</f>
        <v>0.48</v>
      </c>
    </row>
    <row r="45" spans="2:10" x14ac:dyDescent="0.25">
      <c r="C45" s="134"/>
      <c r="D45" s="135"/>
      <c r="E45" s="135"/>
      <c r="F45" s="136" t="s">
        <v>155</v>
      </c>
      <c r="G45" s="138">
        <f>G43*$G$18</f>
        <v>120</v>
      </c>
      <c r="H45" s="138">
        <f t="shared" ref="H45:I45" si="6">H43*$G$18</f>
        <v>180</v>
      </c>
      <c r="I45" s="139">
        <f t="shared" si="6"/>
        <v>120</v>
      </c>
      <c r="J45" s="185">
        <f>SUM(G45:I45)</f>
        <v>420</v>
      </c>
    </row>
    <row r="46" spans="2:10" x14ac:dyDescent="0.25">
      <c r="J46" s="21"/>
    </row>
    <row r="47" spans="2:10" ht="14.65" customHeight="1" x14ac:dyDescent="0.25">
      <c r="B47" s="37"/>
      <c r="C47" s="37"/>
      <c r="D47" s="37"/>
      <c r="E47" s="37"/>
      <c r="F47" s="37"/>
      <c r="G47" s="37"/>
      <c r="H47" s="37"/>
    </row>
    <row r="48" spans="2:10" ht="15.75" x14ac:dyDescent="0.25">
      <c r="C48" s="61" t="s">
        <v>306</v>
      </c>
      <c r="D48" s="62"/>
      <c r="E48" s="62"/>
      <c r="F48" s="62"/>
      <c r="G48" s="62"/>
      <c r="H48" s="62"/>
      <c r="I48" s="62"/>
      <c r="J48" s="62"/>
    </row>
    <row r="49" spans="3:10" s="1" customFormat="1" ht="15.75" x14ac:dyDescent="0.25">
      <c r="C49" s="423"/>
      <c r="D49" s="423"/>
      <c r="E49" s="423"/>
      <c r="F49" s="423"/>
      <c r="G49" s="423"/>
      <c r="H49" s="423"/>
      <c r="I49" s="423"/>
      <c r="J49" s="423"/>
    </row>
    <row r="50" spans="3:10" s="1" customFormat="1" ht="15.4" customHeight="1" x14ac:dyDescent="0.25">
      <c r="C50" s="475" t="s">
        <v>313</v>
      </c>
      <c r="D50" s="475"/>
      <c r="E50" s="475"/>
      <c r="F50" s="475"/>
      <c r="G50" s="475"/>
      <c r="H50" s="475"/>
      <c r="I50" s="475"/>
      <c r="J50" s="475"/>
    </row>
    <row r="51" spans="3:10" s="1" customFormat="1" ht="15.4" customHeight="1" x14ac:dyDescent="0.25">
      <c r="C51" s="475"/>
      <c r="D51" s="475"/>
      <c r="E51" s="475"/>
      <c r="F51" s="475"/>
      <c r="G51" s="475"/>
      <c r="H51" s="475"/>
      <c r="I51" s="475"/>
      <c r="J51" s="475"/>
    </row>
    <row r="52" spans="3:10" s="1" customFormat="1" ht="15.75" x14ac:dyDescent="0.25">
      <c r="C52" s="424" t="s">
        <v>314</v>
      </c>
      <c r="D52" s="423"/>
      <c r="E52" s="423"/>
      <c r="F52" s="423"/>
      <c r="G52" s="423"/>
      <c r="H52" s="423"/>
      <c r="I52" s="423"/>
      <c r="J52" s="423"/>
    </row>
    <row r="53" spans="3:10" s="1" customFormat="1" ht="15.75" x14ac:dyDescent="0.25">
      <c r="C53" s="426" t="s">
        <v>308</v>
      </c>
      <c r="D53" s="423"/>
      <c r="E53" s="423"/>
      <c r="F53" s="423"/>
      <c r="G53" s="423"/>
      <c r="H53" s="423"/>
      <c r="I53" s="423"/>
      <c r="J53" s="423"/>
    </row>
    <row r="54" spans="3:10" s="1" customFormat="1" ht="15.75" x14ac:dyDescent="0.25">
      <c r="C54" s="425" t="s">
        <v>309</v>
      </c>
      <c r="D54" s="423"/>
      <c r="E54" s="423"/>
      <c r="F54" s="423"/>
      <c r="G54" s="423"/>
      <c r="H54" s="423"/>
      <c r="I54" s="423"/>
      <c r="J54" s="423"/>
    </row>
    <row r="55" spans="3:10" s="1" customFormat="1" ht="15.75" x14ac:dyDescent="0.25">
      <c r="C55" s="425" t="s">
        <v>310</v>
      </c>
      <c r="D55" s="423"/>
      <c r="E55" s="423"/>
      <c r="F55" s="423"/>
      <c r="G55" s="423"/>
      <c r="H55" s="423"/>
      <c r="I55" s="423"/>
      <c r="J55" s="423"/>
    </row>
    <row r="56" spans="3:10" s="1" customFormat="1" ht="15.75" x14ac:dyDescent="0.25">
      <c r="C56" s="424" t="s">
        <v>311</v>
      </c>
      <c r="D56" s="423"/>
      <c r="E56" s="423"/>
      <c r="F56" s="423"/>
      <c r="G56" s="423"/>
      <c r="H56" s="423"/>
      <c r="I56" s="423"/>
      <c r="J56" s="423"/>
    </row>
    <row r="57" spans="3:10" s="1" customFormat="1" ht="15.75" x14ac:dyDescent="0.25">
      <c r="C57" s="424" t="s">
        <v>312</v>
      </c>
      <c r="D57" s="423"/>
      <c r="E57" s="423"/>
      <c r="F57" s="423"/>
      <c r="G57" s="423"/>
      <c r="H57" s="423"/>
      <c r="I57" s="423"/>
      <c r="J57" s="423"/>
    </row>
    <row r="58" spans="3:10" s="1" customFormat="1" ht="15.75" x14ac:dyDescent="0.25">
      <c r="C58" s="424" t="s">
        <v>326</v>
      </c>
      <c r="D58" s="423"/>
      <c r="E58" s="423"/>
      <c r="F58" s="423"/>
      <c r="G58" s="423"/>
      <c r="H58" s="423"/>
      <c r="I58" s="423"/>
      <c r="J58" s="423"/>
    </row>
    <row r="59" spans="3:10" s="1" customFormat="1" ht="55.9" customHeight="1" x14ac:dyDescent="0.25">
      <c r="C59" s="424"/>
      <c r="D59" s="423"/>
      <c r="E59" s="423"/>
      <c r="F59" s="423"/>
      <c r="G59" s="423"/>
      <c r="H59" s="423"/>
      <c r="I59" s="423"/>
      <c r="J59" s="423"/>
    </row>
    <row r="60" spans="3:10" s="1" customFormat="1" ht="15.75" x14ac:dyDescent="0.25">
      <c r="C60" s="318" t="s">
        <v>325</v>
      </c>
      <c r="D60" s="319"/>
      <c r="E60" s="269"/>
      <c r="F60" s="269"/>
      <c r="G60" s="269"/>
      <c r="H60" s="293"/>
      <c r="I60" s="423"/>
      <c r="J60" s="423"/>
    </row>
    <row r="61" spans="3:10" s="1" customFormat="1" ht="15.75" x14ac:dyDescent="0.25">
      <c r="C61" s="11" t="s">
        <v>315</v>
      </c>
      <c r="E61"/>
      <c r="F61"/>
      <c r="G61" s="209">
        <v>2000</v>
      </c>
      <c r="H61" s="29"/>
      <c r="I61" s="423"/>
      <c r="J61" s="423"/>
    </row>
    <row r="62" spans="3:10" s="1" customFormat="1" ht="15.75" x14ac:dyDescent="0.25">
      <c r="C62" s="11" t="s">
        <v>183</v>
      </c>
      <c r="E62"/>
      <c r="F62"/>
      <c r="G62" s="41">
        <v>3</v>
      </c>
      <c r="H62" s="12" t="s">
        <v>184</v>
      </c>
      <c r="I62" s="423"/>
      <c r="J62" s="423"/>
    </row>
    <row r="63" spans="3:10" s="1" customFormat="1" ht="15.75" x14ac:dyDescent="0.25">
      <c r="C63" s="11" t="s">
        <v>318</v>
      </c>
      <c r="E63"/>
      <c r="F63"/>
      <c r="G63" s="41">
        <v>1</v>
      </c>
      <c r="H63" s="12"/>
      <c r="I63" s="423"/>
      <c r="J63" s="423"/>
    </row>
    <row r="64" spans="3:10" s="1" customFormat="1" ht="15.75" x14ac:dyDescent="0.25">
      <c r="C64" s="11" t="s">
        <v>319</v>
      </c>
      <c r="E64"/>
      <c r="F64"/>
      <c r="G64" s="429">
        <f>G61/G62*G63</f>
        <v>666.66666666666663</v>
      </c>
      <c r="H64" s="12"/>
      <c r="I64" s="40" t="s">
        <v>317</v>
      </c>
      <c r="J64" s="423"/>
    </row>
    <row r="65" spans="2:9" ht="14.65" customHeight="1" x14ac:dyDescent="0.25">
      <c r="B65" s="37"/>
      <c r="C65" s="13" t="s">
        <v>316</v>
      </c>
      <c r="D65" s="427"/>
      <c r="E65" s="427"/>
      <c r="F65" s="427"/>
      <c r="G65" s="430">
        <v>1000</v>
      </c>
      <c r="H65" s="428"/>
    </row>
    <row r="66" spans="2:9" ht="14.65" customHeight="1" x14ac:dyDescent="0.25">
      <c r="B66" s="37"/>
      <c r="C66" s="37"/>
      <c r="D66" s="37"/>
      <c r="E66" s="37"/>
      <c r="F66" s="37"/>
      <c r="G66" s="37"/>
      <c r="H66" s="37"/>
    </row>
    <row r="67" spans="2:9" x14ac:dyDescent="0.25">
      <c r="C67" s="160" t="s">
        <v>327</v>
      </c>
      <c r="D67" s="161"/>
      <c r="E67" s="161"/>
      <c r="F67" s="161"/>
      <c r="G67" s="431" t="s">
        <v>156</v>
      </c>
      <c r="H67" s="432" t="s">
        <v>162</v>
      </c>
    </row>
    <row r="68" spans="2:9" x14ac:dyDescent="0.25">
      <c r="C68" s="94" t="s">
        <v>164</v>
      </c>
      <c r="D68" s="95"/>
      <c r="E68" s="95"/>
      <c r="F68" s="95"/>
      <c r="G68" s="433">
        <f>J45</f>
        <v>420</v>
      </c>
      <c r="H68" s="434"/>
    </row>
    <row r="69" spans="2:9" x14ac:dyDescent="0.25">
      <c r="C69" s="75" t="s">
        <v>320</v>
      </c>
      <c r="D69" s="76"/>
      <c r="E69" s="76"/>
      <c r="F69" s="76"/>
      <c r="G69" s="435">
        <f>$G64+G65</f>
        <v>1666.6666666666665</v>
      </c>
      <c r="H69" s="436">
        <f>$G64</f>
        <v>666.66666666666663</v>
      </c>
    </row>
    <row r="70" spans="2:9" x14ac:dyDescent="0.25">
      <c r="C70" s="94" t="s">
        <v>0</v>
      </c>
      <c r="D70" s="95"/>
      <c r="E70" s="95"/>
      <c r="F70" s="95"/>
      <c r="G70" s="437">
        <f>SUM(G69:G69)</f>
        <v>1666.6666666666665</v>
      </c>
      <c r="H70" s="438">
        <f>SUM(H69:H69)</f>
        <v>666.66666666666663</v>
      </c>
    </row>
    <row r="71" spans="2:9" x14ac:dyDescent="0.25">
      <c r="C71" s="173" t="s">
        <v>170</v>
      </c>
      <c r="D71" s="174"/>
      <c r="E71" s="174"/>
      <c r="F71" s="174"/>
      <c r="G71" s="439">
        <f>G70/Contenants!$J$14</f>
        <v>8.3333333333333329E-2</v>
      </c>
      <c r="H71" s="440">
        <f>H70/Contenants!$J$14</f>
        <v>3.3333333333333333E-2</v>
      </c>
    </row>
    <row r="75" spans="2:9" s="367" customFormat="1" ht="22.5" hidden="1" x14ac:dyDescent="0.2">
      <c r="C75" s="490" t="s">
        <v>90</v>
      </c>
      <c r="D75" s="491"/>
      <c r="E75" s="491"/>
      <c r="F75" s="492"/>
      <c r="G75" s="368" t="s">
        <v>303</v>
      </c>
      <c r="H75" s="369" t="s">
        <v>304</v>
      </c>
      <c r="I75" s="370" t="s">
        <v>305</v>
      </c>
    </row>
    <row r="76" spans="2:9" s="367" customFormat="1" ht="11.25" hidden="1" x14ac:dyDescent="0.2">
      <c r="C76" s="371" t="s">
        <v>280</v>
      </c>
      <c r="D76" s="372"/>
      <c r="E76" s="372"/>
      <c r="F76" s="372"/>
      <c r="G76" s="373">
        <f>Contenants!G30</f>
        <v>5000</v>
      </c>
      <c r="H76" s="374">
        <f>Contenants!H30</f>
        <v>10000</v>
      </c>
      <c r="I76" s="375">
        <f>Contenants!I30</f>
        <v>5000</v>
      </c>
    </row>
    <row r="77" spans="2:9" s="367" customFormat="1" ht="11.25" hidden="1" x14ac:dyDescent="0.2">
      <c r="C77" s="376" t="s">
        <v>41</v>
      </c>
      <c r="G77" s="377">
        <f>Contenants!G31</f>
        <v>0.9</v>
      </c>
      <c r="H77" s="378">
        <f>Contenants!H31</f>
        <v>0.95</v>
      </c>
      <c r="I77" s="379">
        <f>Contenants!I31</f>
        <v>0.95</v>
      </c>
    </row>
    <row r="78" spans="2:9" s="367" customFormat="1" ht="11.25" hidden="1" x14ac:dyDescent="0.2">
      <c r="C78" s="376" t="s">
        <v>42</v>
      </c>
      <c r="G78" s="380">
        <f>Contenants!G32</f>
        <v>0.1</v>
      </c>
      <c r="H78" s="381">
        <f>Contenants!H32</f>
        <v>0.1</v>
      </c>
      <c r="I78" s="382">
        <f>Contenants!I32</f>
        <v>0.1</v>
      </c>
    </row>
    <row r="79" spans="2:9" s="367" customFormat="1" ht="11.25" hidden="1" x14ac:dyDescent="0.2">
      <c r="C79" s="376" t="s">
        <v>43</v>
      </c>
      <c r="G79" s="383">
        <f>Contenants!G33</f>
        <v>25</v>
      </c>
      <c r="H79" s="384">
        <f>Contenants!H33</f>
        <v>50</v>
      </c>
      <c r="I79" s="385">
        <f>Contenants!I33</f>
        <v>25</v>
      </c>
    </row>
    <row r="80" spans="2:9" s="367" customFormat="1" ht="11.25" hidden="1" x14ac:dyDescent="0.2">
      <c r="C80" s="376" t="s">
        <v>102</v>
      </c>
      <c r="G80" s="386">
        <f>Contenants!G34</f>
        <v>5.2631578947368434</v>
      </c>
      <c r="H80" s="387">
        <f>Contenants!H34</f>
        <v>6.8965517241379306</v>
      </c>
      <c r="I80" s="388">
        <f>Contenants!I34</f>
        <v>6.8965517241379306</v>
      </c>
    </row>
    <row r="81" spans="3:9" s="367" customFormat="1" ht="11.25" hidden="1" x14ac:dyDescent="0.2">
      <c r="C81" s="389" t="s">
        <v>103</v>
      </c>
      <c r="D81" s="390"/>
      <c r="E81" s="390"/>
      <c r="F81" s="390"/>
      <c r="G81" s="391">
        <f>Contenants!G35</f>
        <v>5</v>
      </c>
      <c r="H81" s="391">
        <f>Contenants!H35</f>
        <v>5</v>
      </c>
      <c r="I81" s="391">
        <f>Contenants!I35</f>
        <v>5</v>
      </c>
    </row>
    <row r="82" spans="3:9" s="367" customFormat="1" ht="11.25" hidden="1" x14ac:dyDescent="0.2">
      <c r="C82" s="392" t="s">
        <v>96</v>
      </c>
      <c r="G82" s="393">
        <f>Contenants!G36</f>
        <v>3</v>
      </c>
      <c r="H82" s="393">
        <f>Contenants!H36</f>
        <v>3</v>
      </c>
      <c r="I82" s="393">
        <f>Contenants!I36</f>
        <v>3</v>
      </c>
    </row>
    <row r="83" spans="3:9" s="367" customFormat="1" ht="11.25" hidden="1" x14ac:dyDescent="0.2">
      <c r="C83" s="392" t="s">
        <v>97</v>
      </c>
      <c r="G83" s="393">
        <f>Contenants!G37</f>
        <v>2</v>
      </c>
      <c r="H83" s="393">
        <f>Contenants!H37</f>
        <v>2</v>
      </c>
      <c r="I83" s="393">
        <f>Contenants!I37</f>
        <v>2</v>
      </c>
    </row>
    <row r="84" spans="3:9" s="367" customFormat="1" ht="11.25" hidden="1" x14ac:dyDescent="0.2">
      <c r="C84" s="392" t="s">
        <v>104</v>
      </c>
      <c r="G84" s="380">
        <f>Contenants!G38</f>
        <v>0.8</v>
      </c>
      <c r="H84" s="380">
        <f>Contenants!H38</f>
        <v>0.8</v>
      </c>
      <c r="I84" s="394">
        <f>Contenants!I38</f>
        <v>0.8</v>
      </c>
    </row>
    <row r="85" spans="3:9" s="367" customFormat="1" ht="11.25" hidden="1" x14ac:dyDescent="0.2">
      <c r="C85" s="395" t="s">
        <v>114</v>
      </c>
      <c r="G85" s="396">
        <f>Contenants!G39</f>
        <v>225</v>
      </c>
      <c r="H85" s="396">
        <f>Contenants!H39</f>
        <v>450</v>
      </c>
      <c r="I85" s="396">
        <f>Contenants!I39</f>
        <v>225</v>
      </c>
    </row>
    <row r="86" spans="3:9" s="367" customFormat="1" ht="11.25" hidden="1" x14ac:dyDescent="0.2">
      <c r="C86" s="389" t="s">
        <v>1</v>
      </c>
      <c r="D86" s="390"/>
      <c r="E86" s="390"/>
      <c r="F86" s="397"/>
      <c r="G86" s="398">
        <f>Contenants!G40</f>
        <v>750</v>
      </c>
      <c r="H86" s="399">
        <f>Contenants!H40</f>
        <v>350</v>
      </c>
      <c r="I86" s="399">
        <f>Contenants!I40</f>
        <v>750</v>
      </c>
    </row>
    <row r="87" spans="3:9" s="367" customFormat="1" ht="11.25" hidden="1" x14ac:dyDescent="0.2">
      <c r="C87" s="395" t="s">
        <v>2</v>
      </c>
      <c r="F87" s="400"/>
      <c r="G87" s="398">
        <f>Contenants!G41</f>
        <v>169</v>
      </c>
      <c r="H87" s="399">
        <f>Contenants!H41</f>
        <v>135</v>
      </c>
      <c r="I87" s="399">
        <f>Contenants!I41</f>
        <v>169</v>
      </c>
    </row>
    <row r="88" spans="3:9" s="367" customFormat="1" ht="11.25" hidden="1" x14ac:dyDescent="0.2">
      <c r="C88" s="395" t="s">
        <v>81</v>
      </c>
      <c r="F88" s="400"/>
      <c r="G88" s="398">
        <f>Contenants!G42</f>
        <v>159</v>
      </c>
      <c r="H88" s="399">
        <f>Contenants!H42</f>
        <v>125</v>
      </c>
      <c r="I88" s="399">
        <f>Contenants!I42</f>
        <v>159</v>
      </c>
    </row>
    <row r="89" spans="3:9" s="367" customFormat="1" ht="11.25" hidden="1" x14ac:dyDescent="0.2">
      <c r="C89" s="395" t="s">
        <v>3</v>
      </c>
      <c r="F89" s="400"/>
      <c r="G89" s="398">
        <f>Contenants!G43</f>
        <v>68</v>
      </c>
      <c r="H89" s="399">
        <f>Contenants!H43</f>
        <v>58</v>
      </c>
      <c r="I89" s="399">
        <f>Contenants!I43</f>
        <v>68</v>
      </c>
    </row>
    <row r="90" spans="3:9" s="367" customFormat="1" ht="11.25" hidden="1" x14ac:dyDescent="0.2">
      <c r="C90" s="395" t="s">
        <v>124</v>
      </c>
      <c r="F90" s="400"/>
      <c r="G90" s="398">
        <f>Contenants!G44</f>
        <v>25</v>
      </c>
      <c r="H90" s="399">
        <f>Contenants!H44</f>
        <v>25</v>
      </c>
      <c r="I90" s="399">
        <f>Contenants!I44</f>
        <v>25</v>
      </c>
    </row>
    <row r="91" spans="3:9" s="367" customFormat="1" ht="11.25" hidden="1" x14ac:dyDescent="0.2">
      <c r="C91" s="395" t="s">
        <v>142</v>
      </c>
      <c r="F91" s="400"/>
      <c r="G91" s="401">
        <f>Contenants!G45</f>
        <v>180</v>
      </c>
      <c r="H91" s="402">
        <f>Contenants!H45</f>
        <v>90</v>
      </c>
      <c r="I91" s="402">
        <f>Contenants!I45</f>
        <v>180</v>
      </c>
    </row>
    <row r="92" spans="3:9" s="367" customFormat="1" ht="11.25" hidden="1" x14ac:dyDescent="0.2">
      <c r="C92" s="403" t="s">
        <v>143</v>
      </c>
      <c r="D92" s="404"/>
      <c r="E92" s="404"/>
      <c r="F92" s="405"/>
      <c r="G92" s="406">
        <f>Contenants!G46</f>
        <v>10</v>
      </c>
      <c r="H92" s="407">
        <f>Contenants!H46</f>
        <v>10</v>
      </c>
      <c r="I92" s="407">
        <f>Contenants!I46</f>
        <v>10</v>
      </c>
    </row>
    <row r="93" spans="3:9" s="367" customFormat="1" ht="11.25" hidden="1" x14ac:dyDescent="0.2">
      <c r="C93" s="408" t="s">
        <v>106</v>
      </c>
      <c r="D93" s="409"/>
      <c r="E93" s="409"/>
      <c r="F93" s="410"/>
      <c r="G93" s="411">
        <f>Contenants!G47</f>
        <v>2</v>
      </c>
      <c r="H93" s="412">
        <f>Contenants!H47</f>
        <v>2.5</v>
      </c>
      <c r="I93" s="412">
        <f>Contenants!I47</f>
        <v>2</v>
      </c>
    </row>
    <row r="94" spans="3:9" s="367" customFormat="1" ht="11.25" hidden="1" x14ac:dyDescent="0.2">
      <c r="G94" s="411"/>
      <c r="H94" s="411"/>
      <c r="I94" s="411"/>
    </row>
    <row r="95" spans="3:9" hidden="1" x14ac:dyDescent="0.25"/>
    <row r="96" spans="3:9" hidden="1" x14ac:dyDescent="0.25"/>
  </sheetData>
  <mergeCells count="5">
    <mergeCell ref="G16:H16"/>
    <mergeCell ref="G17:H17"/>
    <mergeCell ref="G18:H18"/>
    <mergeCell ref="C50:J51"/>
    <mergeCell ref="C75:F75"/>
  </mergeCells>
  <pageMargins left="0.7" right="0.7" top="0.75" bottom="0.75" header="0.3" footer="0.3"/>
  <pageSetup paperSize="9" scale="73" orientation="portrait" r:id="rId1"/>
  <rowBreaks count="1" manualBreakCount="1">
    <brk id="66" min="1" max="10" man="1"/>
  </rowBreaks>
  <colBreaks count="1" manualBreakCount="1">
    <brk id="11" max="5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J23"/>
  <sheetViews>
    <sheetView showGridLines="0" view="pageBreakPreview" zoomScale="85" zoomScaleNormal="100" zoomScaleSheetLayoutView="85" workbookViewId="0">
      <selection activeCell="C6" sqref="C6"/>
    </sheetView>
  </sheetViews>
  <sheetFormatPr baseColWidth="10" defaultRowHeight="15" x14ac:dyDescent="0.25"/>
  <cols>
    <col min="1" max="1" width="4.28515625" customWidth="1"/>
    <col min="2" max="2" width="5.7109375" customWidth="1"/>
    <col min="6" max="6" width="21.85546875" customWidth="1"/>
    <col min="7" max="7" width="12.140625" bestFit="1" customWidth="1"/>
    <col min="8" max="8" width="13.28515625" customWidth="1"/>
    <col min="11" max="11" width="5.140625" customWidth="1"/>
  </cols>
  <sheetData>
    <row r="3" spans="2:10" x14ac:dyDescent="0.25">
      <c r="C3" s="178"/>
      <c r="D3" s="179" t="s">
        <v>179</v>
      </c>
    </row>
    <row r="4" spans="2:10" ht="14.65" customHeight="1" x14ac:dyDescent="0.25">
      <c r="C4" s="192"/>
      <c r="D4" s="193" t="s">
        <v>180</v>
      </c>
      <c r="F4" s="37"/>
      <c r="G4" s="37"/>
      <c r="H4" s="37"/>
      <c r="I4" s="37"/>
    </row>
    <row r="5" spans="2:10" ht="14.65" customHeight="1" x14ac:dyDescent="0.25">
      <c r="C5" s="37"/>
      <c r="D5" s="37"/>
      <c r="E5" s="37"/>
      <c r="F5" s="37"/>
      <c r="G5" s="37"/>
      <c r="H5" s="37"/>
      <c r="I5" s="37"/>
    </row>
    <row r="6" spans="2:10" ht="14.65" customHeight="1" x14ac:dyDescent="0.25">
      <c r="B6" s="37"/>
      <c r="C6" s="67" t="s">
        <v>171</v>
      </c>
      <c r="D6" s="68"/>
      <c r="E6" s="68"/>
      <c r="F6" s="68"/>
      <c r="G6" s="68"/>
      <c r="H6" s="69"/>
      <c r="I6" s="70"/>
      <c r="J6" s="70"/>
    </row>
    <row r="8" spans="2:10" x14ac:dyDescent="0.25">
      <c r="C8" s="235" t="s">
        <v>329</v>
      </c>
    </row>
    <row r="9" spans="2:10" x14ac:dyDescent="0.25">
      <c r="C9" s="235" t="s">
        <v>354</v>
      </c>
    </row>
    <row r="10" spans="2:10" x14ac:dyDescent="0.25">
      <c r="C10" s="235" t="s">
        <v>328</v>
      </c>
    </row>
    <row r="11" spans="2:10" x14ac:dyDescent="0.25">
      <c r="C11" s="234"/>
    </row>
    <row r="12" spans="2:10" x14ac:dyDescent="0.25">
      <c r="C12" s="493" t="s">
        <v>353</v>
      </c>
      <c r="D12" s="493"/>
      <c r="E12" s="493"/>
      <c r="F12" s="493"/>
      <c r="G12" s="493"/>
      <c r="H12" s="493"/>
      <c r="I12" s="493"/>
      <c r="J12" s="493"/>
    </row>
    <row r="13" spans="2:10" x14ac:dyDescent="0.25">
      <c r="C13" s="493"/>
      <c r="D13" s="493"/>
      <c r="E13" s="493"/>
      <c r="F13" s="493"/>
      <c r="G13" s="493"/>
      <c r="H13" s="493"/>
      <c r="I13" s="493"/>
      <c r="J13" s="493"/>
    </row>
    <row r="14" spans="2:10" x14ac:dyDescent="0.25">
      <c r="C14" s="1"/>
      <c r="D14" s="1"/>
      <c r="E14" s="1"/>
      <c r="F14" s="1"/>
      <c r="G14" s="1"/>
      <c r="H14" s="1"/>
    </row>
    <row r="15" spans="2:10" ht="18.75" x14ac:dyDescent="0.25">
      <c r="C15" s="67" t="s">
        <v>343</v>
      </c>
      <c r="D15" s="68"/>
      <c r="E15" s="68"/>
      <c r="F15" s="68"/>
      <c r="G15" s="68"/>
      <c r="H15" s="69"/>
      <c r="I15" s="70"/>
      <c r="J15" s="70"/>
    </row>
    <row r="16" spans="2:10" x14ac:dyDescent="0.25">
      <c r="C16" s="1"/>
      <c r="D16" s="1"/>
      <c r="E16" s="1"/>
      <c r="F16" s="1"/>
      <c r="H16" s="1"/>
      <c r="I16" s="1"/>
    </row>
    <row r="17" spans="3:10" x14ac:dyDescent="0.25">
      <c r="C17" s="223" t="s">
        <v>336</v>
      </c>
      <c r="D17" s="224"/>
      <c r="E17" s="225"/>
      <c r="F17" s="225"/>
      <c r="G17" s="225"/>
      <c r="H17" s="225"/>
      <c r="I17" s="226"/>
    </row>
    <row r="18" spans="3:10" x14ac:dyDescent="0.25">
      <c r="C18" s="201" t="s">
        <v>341</v>
      </c>
      <c r="D18" s="1"/>
      <c r="H18" s="41">
        <v>1500</v>
      </c>
      <c r="I18" s="102" t="s">
        <v>54</v>
      </c>
      <c r="J18" s="230" t="s">
        <v>342</v>
      </c>
    </row>
    <row r="19" spans="3:10" x14ac:dyDescent="0.25">
      <c r="C19" s="201" t="s">
        <v>339</v>
      </c>
      <c r="D19" s="1"/>
      <c r="H19" s="41">
        <v>4</v>
      </c>
      <c r="I19" s="102" t="s">
        <v>184</v>
      </c>
      <c r="J19" s="230"/>
    </row>
    <row r="20" spans="3:10" x14ac:dyDescent="0.25">
      <c r="C20" s="201" t="s">
        <v>340</v>
      </c>
      <c r="D20" s="1"/>
      <c r="H20" s="41">
        <v>5000</v>
      </c>
      <c r="I20" s="102" t="s">
        <v>32</v>
      </c>
      <c r="J20" s="39"/>
    </row>
    <row r="21" spans="3:10" x14ac:dyDescent="0.25">
      <c r="C21" s="201" t="s">
        <v>335</v>
      </c>
      <c r="D21" s="1"/>
      <c r="H21" s="41">
        <v>0.01</v>
      </c>
      <c r="I21" s="102" t="s">
        <v>337</v>
      </c>
      <c r="J21" s="39" t="s">
        <v>351</v>
      </c>
    </row>
    <row r="22" spans="3:10" x14ac:dyDescent="0.25">
      <c r="C22" s="220" t="s">
        <v>338</v>
      </c>
      <c r="D22" s="199"/>
      <c r="E22" s="199"/>
      <c r="F22" s="76"/>
      <c r="G22" s="76"/>
      <c r="H22" s="227">
        <f>H18/H19+H20+H21*Contenants!J53*Contenants!G11</f>
        <v>5562.5</v>
      </c>
      <c r="I22" s="90"/>
    </row>
    <row r="23" spans="3:10" x14ac:dyDescent="0.25">
      <c r="C23" s="221" t="s">
        <v>49</v>
      </c>
      <c r="D23" s="203"/>
      <c r="E23" s="203"/>
      <c r="F23" s="65"/>
      <c r="G23" s="65"/>
      <c r="H23" s="228">
        <f>H22/Contenants!J14</f>
        <v>0.27812500000000001</v>
      </c>
      <c r="I23" s="93"/>
    </row>
  </sheetData>
  <mergeCells count="1">
    <mergeCell ref="C12:J13"/>
  </mergeCells>
  <pageMargins left="0.7" right="0.7" top="0.75" bottom="0.75" header="0.3" footer="0.3"/>
  <pageSetup paperSize="9"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J50"/>
  <sheetViews>
    <sheetView showGridLines="0" view="pageBreakPreview" zoomScale="85" zoomScaleNormal="100" zoomScaleSheetLayoutView="85" workbookViewId="0">
      <selection activeCell="C17" sqref="C17"/>
    </sheetView>
  </sheetViews>
  <sheetFormatPr baseColWidth="10" defaultRowHeight="15" x14ac:dyDescent="0.25"/>
  <cols>
    <col min="1" max="1" width="4.28515625" customWidth="1"/>
    <col min="2" max="2" width="5.7109375" customWidth="1"/>
    <col min="7" max="7" width="12.140625" bestFit="1" customWidth="1"/>
    <col min="8" max="8" width="13.28515625" customWidth="1"/>
  </cols>
  <sheetData>
    <row r="3" spans="2:10" x14ac:dyDescent="0.25">
      <c r="C3" s="178"/>
      <c r="D3" s="179" t="s">
        <v>179</v>
      </c>
    </row>
    <row r="4" spans="2:10" ht="14.65" customHeight="1" x14ac:dyDescent="0.25">
      <c r="C4" s="192"/>
      <c r="D4" s="193" t="s">
        <v>180</v>
      </c>
      <c r="F4" s="37"/>
      <c r="G4" s="37"/>
      <c r="H4" s="37"/>
      <c r="I4" s="37"/>
    </row>
    <row r="5" spans="2:10" ht="14.65" customHeight="1" x14ac:dyDescent="0.25">
      <c r="C5" s="37"/>
      <c r="D5" s="37"/>
      <c r="E5" s="37"/>
      <c r="F5" s="37"/>
      <c r="G5" s="37"/>
      <c r="H5" s="37"/>
      <c r="I5" s="37"/>
    </row>
    <row r="6" spans="2:10" ht="14.65" customHeight="1" x14ac:dyDescent="0.25">
      <c r="B6" s="37"/>
      <c r="C6" s="67" t="s">
        <v>171</v>
      </c>
      <c r="D6" s="68"/>
      <c r="E6" s="68"/>
      <c r="F6" s="68"/>
      <c r="G6" s="68"/>
      <c r="H6" s="69"/>
      <c r="I6" s="70"/>
      <c r="J6" s="70"/>
    </row>
    <row r="8" spans="2:10" x14ac:dyDescent="0.25">
      <c r="C8" s="234" t="s">
        <v>172</v>
      </c>
    </row>
    <row r="9" spans="2:10" x14ac:dyDescent="0.25">
      <c r="C9" s="235" t="s">
        <v>181</v>
      </c>
    </row>
    <row r="10" spans="2:10" x14ac:dyDescent="0.25">
      <c r="C10" s="235" t="s">
        <v>210</v>
      </c>
    </row>
    <row r="11" spans="2:10" x14ac:dyDescent="0.25">
      <c r="C11" s="235"/>
    </row>
    <row r="12" spans="2:10" x14ac:dyDescent="0.25">
      <c r="C12" s="234" t="s">
        <v>217</v>
      </c>
    </row>
    <row r="13" spans="2:10" x14ac:dyDescent="0.25">
      <c r="C13" s="235" t="s">
        <v>173</v>
      </c>
    </row>
    <row r="14" spans="2:10" x14ac:dyDescent="0.25">
      <c r="C14" s="235" t="s">
        <v>213</v>
      </c>
    </row>
    <row r="15" spans="2:10" x14ac:dyDescent="0.25">
      <c r="C15" s="235" t="s">
        <v>174</v>
      </c>
    </row>
    <row r="16" spans="2:10" x14ac:dyDescent="0.25">
      <c r="C16" s="1"/>
      <c r="D16" s="1"/>
      <c r="E16" s="1"/>
      <c r="F16" s="1"/>
      <c r="G16" s="1"/>
      <c r="H16" s="1"/>
    </row>
    <row r="17" spans="3:10" ht="18.75" x14ac:dyDescent="0.25">
      <c r="C17" s="67" t="s">
        <v>50</v>
      </c>
      <c r="D17" s="68"/>
      <c r="E17" s="68"/>
      <c r="F17" s="68"/>
      <c r="G17" s="68"/>
      <c r="H17" s="69"/>
      <c r="I17" s="70"/>
      <c r="J17" s="70"/>
    </row>
    <row r="18" spans="3:10" x14ac:dyDescent="0.25">
      <c r="C18" s="1"/>
      <c r="D18" s="1"/>
      <c r="E18" s="1"/>
      <c r="F18" s="1"/>
      <c r="G18" s="1"/>
      <c r="H18" s="1"/>
    </row>
    <row r="19" spans="3:10" x14ac:dyDescent="0.25">
      <c r="C19" s="223" t="s">
        <v>199</v>
      </c>
      <c r="D19" s="224"/>
      <c r="E19" s="225"/>
      <c r="F19" s="225"/>
      <c r="G19" s="225"/>
      <c r="H19" s="226"/>
    </row>
    <row r="20" spans="3:10" x14ac:dyDescent="0.25">
      <c r="C20" s="201" t="s">
        <v>193</v>
      </c>
      <c r="D20" s="1"/>
      <c r="G20" s="41">
        <v>72</v>
      </c>
      <c r="H20" s="102" t="s">
        <v>195</v>
      </c>
      <c r="I20" s="230" t="s">
        <v>211</v>
      </c>
    </row>
    <row r="21" spans="3:10" x14ac:dyDescent="0.25">
      <c r="C21" s="201" t="s">
        <v>204</v>
      </c>
      <c r="D21" s="1"/>
      <c r="G21" s="41">
        <v>5</v>
      </c>
      <c r="H21" s="102" t="s">
        <v>195</v>
      </c>
      <c r="I21" s="39" t="s">
        <v>212</v>
      </c>
    </row>
    <row r="22" spans="3:10" x14ac:dyDescent="0.25">
      <c r="C22" s="201" t="s">
        <v>203</v>
      </c>
      <c r="D22" s="1"/>
      <c r="G22" s="41">
        <v>10</v>
      </c>
      <c r="H22" s="102" t="s">
        <v>195</v>
      </c>
      <c r="I22" s="39"/>
    </row>
    <row r="23" spans="3:10" x14ac:dyDescent="0.25">
      <c r="C23" s="201" t="s">
        <v>194</v>
      </c>
      <c r="D23" s="1"/>
      <c r="G23" s="41">
        <v>15</v>
      </c>
      <c r="H23" s="102" t="s">
        <v>6</v>
      </c>
      <c r="I23" s="1"/>
    </row>
    <row r="24" spans="3:10" x14ac:dyDescent="0.25">
      <c r="C24" s="202" t="s">
        <v>46</v>
      </c>
      <c r="D24" s="203"/>
      <c r="E24" s="65"/>
      <c r="F24" s="65"/>
      <c r="G24" s="207">
        <f>G23/60*(SUM(G20:G22))</f>
        <v>21.75</v>
      </c>
      <c r="H24" s="204" t="s">
        <v>196</v>
      </c>
      <c r="I24" s="1"/>
    </row>
    <row r="25" spans="3:10" x14ac:dyDescent="0.25">
      <c r="C25" s="223" t="s">
        <v>187</v>
      </c>
      <c r="D25" s="224"/>
      <c r="E25" s="225"/>
      <c r="F25" s="225"/>
      <c r="G25" s="225"/>
      <c r="H25" s="226"/>
    </row>
    <row r="26" spans="3:10" x14ac:dyDescent="0.25">
      <c r="C26" s="201" t="s">
        <v>185</v>
      </c>
      <c r="D26" s="1"/>
      <c r="G26" s="209">
        <v>6500</v>
      </c>
      <c r="H26" s="92"/>
      <c r="I26" s="197" t="s">
        <v>188</v>
      </c>
    </row>
    <row r="27" spans="3:10" x14ac:dyDescent="0.25">
      <c r="C27" s="201" t="s">
        <v>183</v>
      </c>
      <c r="D27" s="1"/>
      <c r="G27" s="41">
        <v>5</v>
      </c>
      <c r="H27" s="102" t="s">
        <v>184</v>
      </c>
      <c r="I27" s="1"/>
    </row>
    <row r="28" spans="3:10" x14ac:dyDescent="0.25">
      <c r="C28" s="201" t="s">
        <v>189</v>
      </c>
      <c r="D28" s="1"/>
      <c r="G28" s="206">
        <f>G27*Contenants!G11*5</f>
        <v>5000</v>
      </c>
      <c r="H28" s="102" t="s">
        <v>190</v>
      </c>
      <c r="I28" s="39" t="s">
        <v>205</v>
      </c>
    </row>
    <row r="29" spans="3:10" x14ac:dyDescent="0.25">
      <c r="C29" s="201" t="s">
        <v>191</v>
      </c>
      <c r="D29" s="1"/>
      <c r="G29" s="205">
        <f>G26/G28</f>
        <v>1.3</v>
      </c>
      <c r="H29" s="102" t="s">
        <v>192</v>
      </c>
      <c r="I29" s="1"/>
    </row>
    <row r="30" spans="3:10" x14ac:dyDescent="0.25">
      <c r="C30" s="202" t="s">
        <v>206</v>
      </c>
      <c r="D30" s="203"/>
      <c r="E30" s="65"/>
      <c r="F30" s="65"/>
      <c r="G30" s="213">
        <f>G29*G20/60</f>
        <v>1.56</v>
      </c>
      <c r="H30" s="204" t="s">
        <v>196</v>
      </c>
      <c r="I30" s="1"/>
    </row>
    <row r="31" spans="3:10" x14ac:dyDescent="0.25">
      <c r="C31" s="223" t="s">
        <v>200</v>
      </c>
      <c r="D31" s="224"/>
      <c r="E31" s="225"/>
      <c r="F31" s="225"/>
      <c r="G31" s="225"/>
      <c r="H31" s="226"/>
    </row>
    <row r="32" spans="3:10" x14ac:dyDescent="0.25">
      <c r="C32" s="201" t="s">
        <v>8</v>
      </c>
      <c r="D32" s="1"/>
      <c r="G32" s="41">
        <v>5</v>
      </c>
      <c r="H32" s="102" t="s">
        <v>9</v>
      </c>
      <c r="I32" s="1"/>
    </row>
    <row r="33" spans="3:10" x14ac:dyDescent="0.25">
      <c r="C33" s="201" t="s">
        <v>197</v>
      </c>
      <c r="D33" s="1"/>
      <c r="G33" s="208">
        <v>1.8</v>
      </c>
      <c r="H33" s="102" t="s">
        <v>198</v>
      </c>
      <c r="I33" s="1"/>
    </row>
    <row r="34" spans="3:10" x14ac:dyDescent="0.25">
      <c r="C34" s="202" t="s">
        <v>182</v>
      </c>
      <c r="D34" s="203"/>
      <c r="E34" s="65"/>
      <c r="F34" s="65"/>
      <c r="G34" s="214">
        <f>G32*G33</f>
        <v>9</v>
      </c>
      <c r="H34" s="204" t="s">
        <v>7</v>
      </c>
      <c r="I34" s="1"/>
    </row>
    <row r="35" spans="3:10" x14ac:dyDescent="0.25">
      <c r="C35" s="211" t="s">
        <v>201</v>
      </c>
      <c r="D35" s="133"/>
      <c r="E35" s="133"/>
      <c r="F35" s="133"/>
      <c r="G35" s="215">
        <f>G24+G34+G30</f>
        <v>32.31</v>
      </c>
      <c r="H35" s="216" t="s">
        <v>7</v>
      </c>
      <c r="I35" s="1"/>
    </row>
    <row r="36" spans="3:10" x14ac:dyDescent="0.25">
      <c r="C36" s="217" t="s">
        <v>10</v>
      </c>
      <c r="D36" s="218"/>
      <c r="E36" s="76"/>
      <c r="F36" s="76"/>
      <c r="G36" s="219">
        <v>5</v>
      </c>
      <c r="H36" s="107" t="s">
        <v>47</v>
      </c>
      <c r="I36" s="1"/>
    </row>
    <row r="37" spans="3:10" x14ac:dyDescent="0.25">
      <c r="C37" s="222" t="s">
        <v>202</v>
      </c>
      <c r="D37" s="212"/>
      <c r="E37" s="1"/>
      <c r="G37" s="1">
        <f>G36*Contenants!G10</f>
        <v>200</v>
      </c>
      <c r="H37" s="102" t="s">
        <v>48</v>
      </c>
      <c r="I37" s="1"/>
    </row>
    <row r="38" spans="3:10" x14ac:dyDescent="0.25">
      <c r="C38" s="220" t="s">
        <v>207</v>
      </c>
      <c r="D38" s="199"/>
      <c r="E38" s="199"/>
      <c r="F38" s="76"/>
      <c r="G38" s="227">
        <f>G35*G37</f>
        <v>6462</v>
      </c>
      <c r="H38" s="90"/>
      <c r="I38" s="1"/>
    </row>
    <row r="39" spans="3:10" x14ac:dyDescent="0.25">
      <c r="C39" s="147" t="s">
        <v>208</v>
      </c>
      <c r="D39" s="1"/>
      <c r="E39" s="1"/>
      <c r="G39" s="229">
        <f>SUM(Contenants!G30:I30)</f>
        <v>20000</v>
      </c>
      <c r="H39" s="92"/>
      <c r="I39" s="39" t="s">
        <v>209</v>
      </c>
    </row>
    <row r="40" spans="3:10" x14ac:dyDescent="0.25">
      <c r="C40" s="221" t="s">
        <v>49</v>
      </c>
      <c r="D40" s="203"/>
      <c r="E40" s="203"/>
      <c r="F40" s="65"/>
      <c r="G40" s="228">
        <f>G38/G39</f>
        <v>0.3231</v>
      </c>
      <c r="H40" s="93"/>
      <c r="I40" s="1"/>
    </row>
    <row r="41" spans="3:10" x14ac:dyDescent="0.25">
      <c r="C41" s="39" t="s">
        <v>5</v>
      </c>
    </row>
    <row r="42" spans="3:10" x14ac:dyDescent="0.25">
      <c r="C42" s="1"/>
      <c r="D42" s="1"/>
      <c r="E42" s="1"/>
      <c r="F42" s="1"/>
      <c r="G42" s="1"/>
      <c r="H42" s="1"/>
    </row>
    <row r="43" spans="3:10" ht="18.75" x14ac:dyDescent="0.25">
      <c r="C43" s="67" t="s">
        <v>51</v>
      </c>
      <c r="D43" s="68"/>
      <c r="E43" s="68"/>
      <c r="F43" s="68"/>
      <c r="G43" s="68"/>
      <c r="H43" s="69"/>
      <c r="I43" s="70"/>
      <c r="J43" s="70"/>
    </row>
    <row r="44" spans="3:10" x14ac:dyDescent="0.25">
      <c r="C44" s="1"/>
      <c r="D44" s="1"/>
      <c r="E44" s="1"/>
      <c r="F44" s="1"/>
      <c r="G44" s="1"/>
    </row>
    <row r="45" spans="3:10" x14ac:dyDescent="0.25">
      <c r="C45" s="223" t="s">
        <v>52</v>
      </c>
      <c r="D45" s="224"/>
      <c r="E45" s="224"/>
      <c r="F45" s="224"/>
      <c r="G45" s="232"/>
      <c r="H45" s="233"/>
    </row>
    <row r="46" spans="3:10" x14ac:dyDescent="0.25">
      <c r="C46" s="198" t="s">
        <v>214</v>
      </c>
      <c r="D46" s="199"/>
      <c r="E46" s="76"/>
      <c r="F46" s="76"/>
      <c r="G46" s="200">
        <v>60</v>
      </c>
      <c r="H46" s="107" t="s">
        <v>54</v>
      </c>
      <c r="I46" s="39" t="s">
        <v>216</v>
      </c>
    </row>
    <row r="47" spans="3:10" x14ac:dyDescent="0.25">
      <c r="C47" s="202" t="s">
        <v>215</v>
      </c>
      <c r="D47" s="203"/>
      <c r="E47" s="65"/>
      <c r="F47" s="65"/>
      <c r="G47" s="231">
        <f>G37</f>
        <v>200</v>
      </c>
      <c r="H47" s="204" t="s">
        <v>48</v>
      </c>
    </row>
    <row r="48" spans="3:10" x14ac:dyDescent="0.25">
      <c r="C48" s="220" t="s">
        <v>53</v>
      </c>
      <c r="D48" s="199"/>
      <c r="E48" s="199"/>
      <c r="F48" s="76"/>
      <c r="G48" s="227">
        <f>G46*G47</f>
        <v>12000</v>
      </c>
      <c r="H48" s="90"/>
    </row>
    <row r="49" spans="3:9" x14ac:dyDescent="0.25">
      <c r="C49" s="147" t="s">
        <v>208</v>
      </c>
      <c r="D49" s="1"/>
      <c r="E49" s="1"/>
      <c r="G49" s="229">
        <f>SUM(Contenants!G30:I30)</f>
        <v>20000</v>
      </c>
      <c r="H49" s="92"/>
      <c r="I49" s="39" t="s">
        <v>209</v>
      </c>
    </row>
    <row r="50" spans="3:9" x14ac:dyDescent="0.25">
      <c r="C50" s="221" t="s">
        <v>49</v>
      </c>
      <c r="D50" s="203"/>
      <c r="E50" s="203"/>
      <c r="F50" s="65"/>
      <c r="G50" s="228">
        <f>G48/G49</f>
        <v>0.6</v>
      </c>
      <c r="H50" s="93"/>
    </row>
  </sheetData>
  <pageMargins left="0.7" right="0.7" top="0.75" bottom="0.75" header="0.3" footer="0.3"/>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C2:R104"/>
  <sheetViews>
    <sheetView showGridLines="0" view="pageBreakPreview" topLeftCell="A9" zoomScaleNormal="100" zoomScaleSheetLayoutView="100" workbookViewId="0">
      <selection activeCell="C7" sqref="C7"/>
    </sheetView>
  </sheetViews>
  <sheetFormatPr baseColWidth="10" defaultRowHeight="15" x14ac:dyDescent="0.25"/>
  <cols>
    <col min="1" max="1" width="6.5703125" customWidth="1"/>
    <col min="2" max="2" width="5" customWidth="1"/>
    <col min="4" max="4" width="14.7109375" bestFit="1" customWidth="1"/>
    <col min="6" max="6" width="11.42578125" bestFit="1" customWidth="1"/>
  </cols>
  <sheetData>
    <row r="2" spans="3:12" x14ac:dyDescent="0.25">
      <c r="C2" s="1"/>
      <c r="D2" s="1"/>
      <c r="E2" s="1"/>
      <c r="F2" s="1"/>
      <c r="G2" s="1"/>
      <c r="H2" s="1"/>
      <c r="I2" s="1"/>
      <c r="J2" s="1"/>
      <c r="K2" s="1"/>
    </row>
    <row r="4" spans="3:12" x14ac:dyDescent="0.25">
      <c r="C4" s="178"/>
      <c r="D4" s="179" t="s">
        <v>179</v>
      </c>
    </row>
    <row r="5" spans="3:12" ht="14.65" customHeight="1" x14ac:dyDescent="0.25">
      <c r="C5" s="192"/>
      <c r="D5" s="193" t="s">
        <v>180</v>
      </c>
      <c r="G5" s="37"/>
      <c r="H5" s="37"/>
      <c r="I5" s="37"/>
      <c r="J5" s="37"/>
    </row>
    <row r="6" spans="3:12" ht="14.65" customHeight="1" x14ac:dyDescent="0.25">
      <c r="C6" s="37"/>
      <c r="D6" s="37"/>
      <c r="F6" s="37"/>
      <c r="G6" s="37"/>
      <c r="H6" s="37"/>
      <c r="I6" s="37"/>
      <c r="J6" s="37"/>
    </row>
    <row r="7" spans="3:12" ht="14.65" customHeight="1" x14ac:dyDescent="0.25">
      <c r="C7" s="67" t="s">
        <v>171</v>
      </c>
      <c r="D7" s="68"/>
      <c r="E7" s="68"/>
      <c r="F7" s="68"/>
      <c r="G7" s="68"/>
      <c r="H7" s="68"/>
      <c r="I7" s="69"/>
      <c r="J7" s="70"/>
      <c r="K7" s="70"/>
      <c r="L7" s="71"/>
    </row>
    <row r="9" spans="3:12" x14ac:dyDescent="0.25">
      <c r="C9" s="234" t="s">
        <v>219</v>
      </c>
    </row>
    <row r="10" spans="3:12" x14ac:dyDescent="0.25">
      <c r="C10" s="235" t="s">
        <v>220</v>
      </c>
    </row>
    <row r="11" spans="3:12" x14ac:dyDescent="0.25">
      <c r="C11" s="235" t="s">
        <v>221</v>
      </c>
    </row>
    <row r="13" spans="3:12" ht="18.75" x14ac:dyDescent="0.25">
      <c r="C13" s="67" t="s">
        <v>55</v>
      </c>
      <c r="D13" s="68"/>
      <c r="E13" s="68"/>
      <c r="F13" s="68"/>
      <c r="G13" s="68"/>
      <c r="H13" s="68"/>
      <c r="I13" s="69"/>
      <c r="J13" s="70"/>
      <c r="K13" s="70"/>
      <c r="L13" s="71"/>
    </row>
    <row r="14" spans="3:12" x14ac:dyDescent="0.25">
      <c r="C14" s="1"/>
      <c r="D14" s="1"/>
      <c r="E14" s="1"/>
      <c r="F14" s="1"/>
      <c r="G14" s="1"/>
      <c r="H14" s="1"/>
      <c r="I14" s="1"/>
      <c r="J14" s="1"/>
      <c r="K14" s="1"/>
    </row>
    <row r="15" spans="3:12" x14ac:dyDescent="0.25">
      <c r="C15" s="46" t="s">
        <v>254</v>
      </c>
      <c r="D15" s="9"/>
      <c r="E15" s="9"/>
      <c r="F15" s="236"/>
      <c r="G15" s="237"/>
      <c r="H15" s="237"/>
      <c r="I15" s="237"/>
      <c r="J15" s="237"/>
      <c r="K15" s="237"/>
      <c r="L15" s="210"/>
    </row>
    <row r="16" spans="3:12" x14ac:dyDescent="0.25">
      <c r="C16" s="18"/>
      <c r="D16" s="19"/>
      <c r="E16" s="19"/>
      <c r="F16" s="22"/>
      <c r="G16" s="21"/>
      <c r="H16" s="21"/>
      <c r="I16" s="22"/>
      <c r="J16" s="20"/>
      <c r="K16" s="21"/>
      <c r="L16" s="22"/>
    </row>
    <row r="17" spans="3:12" x14ac:dyDescent="0.25">
      <c r="C17" s="20"/>
      <c r="D17" s="21"/>
      <c r="E17" s="21"/>
      <c r="F17" s="22"/>
      <c r="G17" s="21"/>
      <c r="H17" s="21"/>
      <c r="I17" s="22"/>
      <c r="J17" s="20"/>
      <c r="K17" s="21"/>
      <c r="L17" s="22"/>
    </row>
    <row r="18" spans="3:12" x14ac:dyDescent="0.25">
      <c r="C18" s="20"/>
      <c r="D18" s="21"/>
      <c r="E18" s="21"/>
      <c r="F18" s="22"/>
      <c r="G18" s="21"/>
      <c r="H18" s="21"/>
      <c r="I18" s="22"/>
      <c r="J18" s="20"/>
      <c r="K18" s="21"/>
      <c r="L18" s="22"/>
    </row>
    <row r="19" spans="3:12" x14ac:dyDescent="0.25">
      <c r="C19" s="20"/>
      <c r="D19" s="21"/>
      <c r="E19" s="21"/>
      <c r="F19" s="22"/>
      <c r="G19" s="21"/>
      <c r="H19" s="21"/>
      <c r="I19" s="22"/>
      <c r="J19" s="20"/>
      <c r="K19" s="21"/>
      <c r="L19" s="22"/>
    </row>
    <row r="20" spans="3:12" x14ac:dyDescent="0.25">
      <c r="C20" s="20"/>
      <c r="D20" s="21"/>
      <c r="E20" s="21"/>
      <c r="F20" s="22"/>
      <c r="G20" s="21"/>
      <c r="H20" s="21"/>
      <c r="I20" s="22"/>
      <c r="J20" s="20"/>
      <c r="K20" s="21"/>
      <c r="L20" s="22"/>
    </row>
    <row r="21" spans="3:12" x14ac:dyDescent="0.25">
      <c r="C21" s="20"/>
      <c r="D21" s="21"/>
      <c r="E21" s="21"/>
      <c r="F21" s="22"/>
      <c r="G21" s="21"/>
      <c r="H21" s="21"/>
      <c r="I21" s="22"/>
      <c r="J21" s="20"/>
      <c r="K21" s="21"/>
      <c r="L21" s="22"/>
    </row>
    <row r="22" spans="3:12" x14ac:dyDescent="0.25">
      <c r="C22" s="20"/>
      <c r="D22" s="21"/>
      <c r="E22" s="21"/>
      <c r="F22" s="22"/>
      <c r="G22" s="21"/>
      <c r="H22" s="21"/>
      <c r="I22" s="22"/>
      <c r="J22" s="20"/>
      <c r="K22" s="21"/>
      <c r="L22" s="22"/>
    </row>
    <row r="23" spans="3:12" x14ac:dyDescent="0.25">
      <c r="C23" s="20"/>
      <c r="D23" s="21"/>
      <c r="E23" s="21"/>
      <c r="F23" s="22"/>
      <c r="G23" s="21"/>
      <c r="H23" s="21"/>
      <c r="I23" s="22"/>
      <c r="J23" s="20"/>
      <c r="K23" s="21"/>
      <c r="L23" s="22"/>
    </row>
    <row r="24" spans="3:12" x14ac:dyDescent="0.25">
      <c r="C24" s="20"/>
      <c r="D24" s="21"/>
      <c r="E24" s="21"/>
      <c r="F24" s="22"/>
      <c r="G24" s="21"/>
      <c r="H24" s="21"/>
      <c r="I24" s="22"/>
      <c r="J24" s="20"/>
      <c r="K24" s="21"/>
      <c r="L24" s="22"/>
    </row>
    <row r="25" spans="3:12" x14ac:dyDescent="0.25">
      <c r="C25" s="20"/>
      <c r="D25" s="21"/>
      <c r="E25" s="21"/>
      <c r="F25" s="22"/>
      <c r="G25" s="21"/>
      <c r="H25" s="21"/>
      <c r="I25" s="22"/>
      <c r="J25" s="20"/>
      <c r="K25" s="21"/>
      <c r="L25" s="22"/>
    </row>
    <row r="26" spans="3:12" x14ac:dyDescent="0.25">
      <c r="C26" s="23"/>
      <c r="D26" s="24"/>
      <c r="E26" s="24"/>
      <c r="F26" s="25"/>
      <c r="G26" s="24"/>
      <c r="H26" s="24"/>
      <c r="I26" s="25"/>
      <c r="J26" s="23"/>
      <c r="K26" s="24"/>
      <c r="L26" s="25"/>
    </row>
    <row r="27" spans="3:12" x14ac:dyDescent="0.25">
      <c r="C27" s="1"/>
      <c r="D27" s="1"/>
      <c r="E27" s="1"/>
      <c r="F27" s="1"/>
      <c r="G27" s="1"/>
      <c r="H27" s="1"/>
      <c r="I27" s="1"/>
      <c r="J27" s="1"/>
      <c r="K27" s="1"/>
      <c r="L27" s="1"/>
    </row>
    <row r="28" spans="3:12" x14ac:dyDescent="0.25">
      <c r="C28" s="270" t="s">
        <v>237</v>
      </c>
      <c r="D28" s="123"/>
      <c r="E28" s="123"/>
      <c r="F28" s="123"/>
      <c r="G28" s="123"/>
      <c r="H28" s="124"/>
      <c r="I28" s="1"/>
      <c r="J28" s="1"/>
      <c r="K28" s="1"/>
      <c r="L28" s="1"/>
    </row>
    <row r="29" spans="3:12" x14ac:dyDescent="0.25">
      <c r="C29" s="2" t="s">
        <v>255</v>
      </c>
      <c r="D29" s="4"/>
      <c r="E29" s="4"/>
      <c r="F29" s="4"/>
      <c r="G29" s="254">
        <v>600</v>
      </c>
      <c r="H29" s="254">
        <v>500</v>
      </c>
      <c r="I29" s="1"/>
      <c r="J29" s="1"/>
      <c r="K29" s="1"/>
      <c r="L29" s="1"/>
    </row>
    <row r="30" spans="3:12" x14ac:dyDescent="0.25">
      <c r="C30" s="2" t="s">
        <v>11</v>
      </c>
      <c r="D30" s="4"/>
      <c r="E30" s="4"/>
      <c r="F30" s="4"/>
      <c r="G30" s="253" t="s">
        <v>12</v>
      </c>
      <c r="H30" s="253"/>
      <c r="I30" s="1"/>
      <c r="J30" s="1"/>
      <c r="K30" s="1"/>
      <c r="L30" s="1"/>
    </row>
    <row r="31" spans="3:12" x14ac:dyDescent="0.25">
      <c r="C31" s="2" t="s">
        <v>226</v>
      </c>
      <c r="D31" s="4"/>
      <c r="E31" s="4"/>
      <c r="F31" s="4"/>
      <c r="G31" s="255">
        <v>192</v>
      </c>
      <c r="H31" s="96" t="s">
        <v>56</v>
      </c>
      <c r="I31" s="1"/>
      <c r="J31" s="1"/>
      <c r="K31" s="1"/>
      <c r="L31" s="1"/>
    </row>
    <row r="32" spans="3:12" x14ac:dyDescent="0.25">
      <c r="C32" s="2" t="s">
        <v>227</v>
      </c>
      <c r="D32" s="4"/>
      <c r="E32" s="4"/>
      <c r="F32" s="4"/>
      <c r="G32" s="255">
        <v>50</v>
      </c>
      <c r="H32" s="96" t="s">
        <v>57</v>
      </c>
      <c r="I32" s="1"/>
      <c r="J32" s="1"/>
      <c r="K32" s="1"/>
      <c r="L32" s="1"/>
    </row>
    <row r="33" spans="3:12" x14ac:dyDescent="0.25">
      <c r="C33" s="2" t="s">
        <v>229</v>
      </c>
      <c r="D33" s="4"/>
      <c r="E33" s="4"/>
      <c r="F33" s="4"/>
      <c r="G33" s="271">
        <v>10000</v>
      </c>
      <c r="H33" s="96"/>
      <c r="I33" s="1"/>
      <c r="J33" s="1"/>
      <c r="K33" s="1"/>
      <c r="L33" s="1"/>
    </row>
    <row r="34" spans="3:12" x14ac:dyDescent="0.25">
      <c r="C34" s="8" t="s">
        <v>230</v>
      </c>
      <c r="D34" s="9"/>
      <c r="E34" s="9"/>
      <c r="F34" s="9"/>
      <c r="G34" s="272">
        <v>5</v>
      </c>
      <c r="H34" s="90" t="s">
        <v>184</v>
      </c>
      <c r="I34" s="1"/>
      <c r="J34" s="1"/>
      <c r="K34" s="1"/>
      <c r="L34" s="1"/>
    </row>
    <row r="35" spans="3:12" x14ac:dyDescent="0.25">
      <c r="C35" s="273" t="s">
        <v>231</v>
      </c>
      <c r="D35" s="273"/>
      <c r="E35" s="273"/>
      <c r="F35" s="273"/>
      <c r="G35" s="182">
        <f>G33/G34</f>
        <v>2000</v>
      </c>
      <c r="H35" s="275" t="s">
        <v>186</v>
      </c>
      <c r="I35" s="1"/>
      <c r="J35" s="1"/>
      <c r="K35" s="1"/>
      <c r="L35" s="1"/>
    </row>
    <row r="36" spans="3:12" x14ac:dyDescent="0.25">
      <c r="C36" s="1"/>
      <c r="D36" s="1"/>
      <c r="E36" s="1"/>
      <c r="F36" s="1"/>
      <c r="G36" s="1"/>
      <c r="H36" s="1"/>
      <c r="I36" s="1"/>
      <c r="J36" s="1"/>
      <c r="K36" s="1"/>
      <c r="L36" s="1"/>
    </row>
    <row r="37" spans="3:12" ht="30" x14ac:dyDescent="0.25">
      <c r="C37" s="494" t="s">
        <v>234</v>
      </c>
      <c r="D37" s="495"/>
      <c r="E37" s="495"/>
      <c r="F37" s="496"/>
      <c r="G37" s="251" t="s">
        <v>85</v>
      </c>
      <c r="H37" s="252" t="s">
        <v>86</v>
      </c>
      <c r="I37" s="252" t="s">
        <v>87</v>
      </c>
      <c r="J37" s="252" t="s">
        <v>0</v>
      </c>
    </row>
    <row r="38" spans="3:12" x14ac:dyDescent="0.25">
      <c r="C38" s="94" t="s">
        <v>225</v>
      </c>
      <c r="D38" s="95"/>
      <c r="E38" s="95"/>
      <c r="F38" s="96"/>
      <c r="G38" s="256">
        <f>Contenants!G53</f>
        <v>22.5</v>
      </c>
      <c r="H38" s="257">
        <f>Contenants!H53</f>
        <v>47.5</v>
      </c>
      <c r="I38" s="258">
        <f>Contenants!I53</f>
        <v>23.75</v>
      </c>
      <c r="J38" s="258">
        <f>SUM(G38:I38)</f>
        <v>93.75</v>
      </c>
      <c r="K38" s="230" t="s">
        <v>224</v>
      </c>
    </row>
    <row r="39" spans="3:12" x14ac:dyDescent="0.25">
      <c r="C39" s="11" t="s">
        <v>58</v>
      </c>
      <c r="D39" s="1"/>
      <c r="E39" s="1"/>
      <c r="F39" s="1"/>
      <c r="G39" s="81">
        <f>MAX(ROUNDDOWN($G$29/Contenants!G41,0)*ROUNDDOWN($H$29/Contenants!G42,0),ROUNDDOWN($G$29/Contenants!G41,0)*ROUNDDOWN($H$29/Contenants!G42,0))</f>
        <v>9</v>
      </c>
      <c r="H39" s="29">
        <f>MAX(ROUNDDOWN($G$29/Contenants!H41,0)*ROUNDDOWN($H$29/Contenants!H42,0),ROUNDDOWN($G$29/Contenants!H41,0)*ROUNDDOWN($H$29/Contenants!H42,0))</f>
        <v>16</v>
      </c>
      <c r="I39" s="92">
        <f>MAX(ROUNDDOWN($G$29/Contenants!I41,0)*ROUNDDOWN($H$29/Contenants!I42,0),ROUNDDOWN($G$29/Contenants!I41,0)*ROUNDDOWN($H$29/Contenants!I42,0))</f>
        <v>9</v>
      </c>
      <c r="J39" s="260"/>
    </row>
    <row r="40" spans="3:12" x14ac:dyDescent="0.25">
      <c r="C40" s="11" t="s">
        <v>59</v>
      </c>
      <c r="D40" s="1"/>
      <c r="E40" s="1"/>
      <c r="F40" s="1"/>
      <c r="G40" s="87">
        <v>22</v>
      </c>
      <c r="H40" s="33">
        <v>22</v>
      </c>
      <c r="I40" s="88">
        <v>22</v>
      </c>
      <c r="J40" s="260"/>
    </row>
    <row r="41" spans="3:12" x14ac:dyDescent="0.25">
      <c r="C41" s="13" t="s">
        <v>60</v>
      </c>
      <c r="D41" s="14"/>
      <c r="E41" s="14"/>
      <c r="F41" s="14"/>
      <c r="G41" s="238">
        <v>1</v>
      </c>
      <c r="H41" s="47">
        <v>1</v>
      </c>
      <c r="I41" s="239">
        <v>1</v>
      </c>
      <c r="J41" s="261"/>
    </row>
    <row r="42" spans="3:12" x14ac:dyDescent="0.25">
      <c r="C42" s="11" t="s">
        <v>61</v>
      </c>
      <c r="D42" s="1"/>
      <c r="E42" s="12"/>
      <c r="F42" s="1"/>
      <c r="G42" s="240">
        <f>ROUNDUP(G38/G39,0)</f>
        <v>3</v>
      </c>
      <c r="H42" s="44">
        <f t="shared" ref="H42:I42" si="0">ROUNDUP(H38/H39,0)</f>
        <v>3</v>
      </c>
      <c r="I42" s="241">
        <f t="shared" si="0"/>
        <v>3</v>
      </c>
      <c r="J42" s="241">
        <f>SUM(G42:I42)</f>
        <v>9</v>
      </c>
    </row>
    <row r="43" spans="3:12" x14ac:dyDescent="0.25">
      <c r="C43" s="11" t="s">
        <v>62</v>
      </c>
      <c r="D43" s="1"/>
      <c r="E43" s="12"/>
      <c r="F43" s="1"/>
      <c r="G43" s="242">
        <f>ROUNDUP(G38/G40,0)</f>
        <v>2</v>
      </c>
      <c r="H43" s="45">
        <f t="shared" ref="H43:I43" si="1">ROUNDUP(H38/H40,0)</f>
        <v>3</v>
      </c>
      <c r="I43" s="243">
        <f t="shared" si="1"/>
        <v>2</v>
      </c>
      <c r="J43" s="82">
        <f>SUM(G43:I43)</f>
        <v>7</v>
      </c>
    </row>
    <row r="44" spans="3:12" x14ac:dyDescent="0.25">
      <c r="C44" s="11" t="s">
        <v>63</v>
      </c>
      <c r="D44" s="1"/>
      <c r="E44" s="12"/>
      <c r="F44" s="1"/>
      <c r="G44" s="81">
        <f>'Caisses et meubles'!G41</f>
        <v>2</v>
      </c>
      <c r="H44" s="81">
        <f>'Caisses et meubles'!H41</f>
        <v>3</v>
      </c>
      <c r="I44" s="81">
        <f>'Caisses et meubles'!I41</f>
        <v>2</v>
      </c>
      <c r="J44" s="259">
        <f>SUM(G44:I44)</f>
        <v>7</v>
      </c>
    </row>
    <row r="45" spans="3:12" x14ac:dyDescent="0.25">
      <c r="C45" s="8" t="s">
        <v>13</v>
      </c>
      <c r="D45" s="9"/>
      <c r="E45" s="9"/>
      <c r="F45" s="9"/>
      <c r="G45" s="240">
        <f>G31</f>
        <v>192</v>
      </c>
      <c r="H45" s="44">
        <f>G31</f>
        <v>192</v>
      </c>
      <c r="I45" s="244">
        <f>G31</f>
        <v>192</v>
      </c>
      <c r="J45" s="262"/>
    </row>
    <row r="46" spans="3:12" x14ac:dyDescent="0.25">
      <c r="C46" s="11" t="s">
        <v>222</v>
      </c>
      <c r="D46" s="1"/>
      <c r="E46" s="1"/>
      <c r="F46" s="1"/>
      <c r="G46" s="245">
        <v>2</v>
      </c>
      <c r="H46" s="48">
        <v>2</v>
      </c>
      <c r="I46" s="248">
        <v>2</v>
      </c>
      <c r="J46" s="263"/>
      <c r="K46" s="230" t="s">
        <v>223</v>
      </c>
    </row>
    <row r="47" spans="3:12" x14ac:dyDescent="0.25">
      <c r="C47" s="11" t="s">
        <v>14</v>
      </c>
      <c r="D47" s="1"/>
      <c r="E47" s="1"/>
      <c r="F47" s="1"/>
      <c r="G47" s="245">
        <v>5</v>
      </c>
      <c r="H47" s="48">
        <f>G47</f>
        <v>5</v>
      </c>
      <c r="I47" s="248">
        <v>5</v>
      </c>
      <c r="J47" s="264"/>
    </row>
    <row r="48" spans="3:12" x14ac:dyDescent="0.25">
      <c r="C48" s="11" t="s">
        <v>15</v>
      </c>
      <c r="D48" s="1"/>
      <c r="E48" s="1"/>
      <c r="F48" s="1"/>
      <c r="G48" s="246">
        <v>5</v>
      </c>
      <c r="H48" s="246">
        <v>5</v>
      </c>
      <c r="I48" s="246">
        <v>5</v>
      </c>
      <c r="J48" s="265"/>
    </row>
    <row r="49" spans="3:10" x14ac:dyDescent="0.25">
      <c r="C49" s="2" t="s">
        <v>64</v>
      </c>
      <c r="D49" s="4"/>
      <c r="E49" s="4"/>
      <c r="F49" s="4"/>
      <c r="G49" s="247">
        <f>((G48+G47+G45)*(G42+G43+G44))/60+G46*G38/60</f>
        <v>24.316666666666666</v>
      </c>
      <c r="H49" s="247">
        <f t="shared" ref="H49:I49" si="2">((H48+H47+H45)*(H42+H43+H44))/60+H46*H38/60</f>
        <v>31.883333333333333</v>
      </c>
      <c r="I49" s="247">
        <f t="shared" si="2"/>
        <v>24.358333333333334</v>
      </c>
      <c r="J49" s="247">
        <f>SUM(G49:I49)</f>
        <v>80.558333333333337</v>
      </c>
    </row>
    <row r="50" spans="3:10" x14ac:dyDescent="0.25">
      <c r="C50" s="11" t="s">
        <v>65</v>
      </c>
      <c r="D50" s="1"/>
      <c r="E50" s="1"/>
      <c r="F50" s="1"/>
      <c r="G50" s="249">
        <v>5</v>
      </c>
      <c r="H50" s="250">
        <v>5</v>
      </c>
      <c r="I50" s="249">
        <v>5</v>
      </c>
      <c r="J50" s="266"/>
    </row>
    <row r="51" spans="3:10" x14ac:dyDescent="0.25">
      <c r="C51" s="11" t="s">
        <v>66</v>
      </c>
      <c r="D51" s="1"/>
      <c r="E51" s="1"/>
      <c r="F51" s="1"/>
      <c r="G51" s="242">
        <f>G50*(G38+G38)/60</f>
        <v>3.75</v>
      </c>
      <c r="H51" s="242">
        <f t="shared" ref="H51:I51" si="3">H50*(H38+H38)/60</f>
        <v>7.916666666666667</v>
      </c>
      <c r="I51" s="242">
        <f t="shared" si="3"/>
        <v>3.9583333333333335</v>
      </c>
      <c r="J51" s="242">
        <f>SUM(G51:I51)</f>
        <v>15.625000000000002</v>
      </c>
    </row>
    <row r="52" spans="3:10" x14ac:dyDescent="0.25">
      <c r="C52" s="279" t="s">
        <v>228</v>
      </c>
      <c r="D52" s="280"/>
      <c r="E52" s="280"/>
      <c r="F52" s="280"/>
      <c r="G52" s="274">
        <f>G49+G51</f>
        <v>28.066666666666666</v>
      </c>
      <c r="H52" s="274">
        <f t="shared" ref="H52:I52" si="4">H49+H51</f>
        <v>39.799999999999997</v>
      </c>
      <c r="I52" s="274">
        <f t="shared" si="4"/>
        <v>28.316666666666666</v>
      </c>
      <c r="J52" s="267">
        <f>J49+J51</f>
        <v>96.183333333333337</v>
      </c>
    </row>
    <row r="54" spans="3:10" x14ac:dyDescent="0.25">
      <c r="C54" s="198" t="s">
        <v>235</v>
      </c>
      <c r="D54" s="199"/>
      <c r="E54" s="199"/>
      <c r="F54" s="199"/>
      <c r="G54" s="277">
        <v>14</v>
      </c>
      <c r="H54" s="10" t="s">
        <v>236</v>
      </c>
    </row>
    <row r="55" spans="3:10" x14ac:dyDescent="0.25">
      <c r="C55" s="201" t="s">
        <v>232</v>
      </c>
      <c r="D55" s="1"/>
      <c r="E55" s="1"/>
      <c r="F55" s="1"/>
      <c r="G55" s="276">
        <f>J52/60*G54</f>
        <v>22.442777777777778</v>
      </c>
      <c r="H55" s="12" t="s">
        <v>186</v>
      </c>
    </row>
    <row r="56" spans="3:10" x14ac:dyDescent="0.25">
      <c r="C56" s="202" t="s">
        <v>233</v>
      </c>
      <c r="D56" s="203"/>
      <c r="E56" s="203"/>
      <c r="F56" s="203"/>
      <c r="G56" s="278">
        <f>G55*Contenants!G11</f>
        <v>4488.5555555555557</v>
      </c>
      <c r="H56" s="15" t="s">
        <v>186</v>
      </c>
    </row>
    <row r="57" spans="3:10" x14ac:dyDescent="0.25">
      <c r="C57" s="1"/>
      <c r="D57" s="1"/>
      <c r="E57" s="1"/>
      <c r="F57" s="1"/>
      <c r="G57" s="1"/>
      <c r="H57" s="1"/>
    </row>
    <row r="58" spans="3:10" x14ac:dyDescent="0.25">
      <c r="C58" s="268" t="s">
        <v>70</v>
      </c>
      <c r="D58" s="269"/>
      <c r="E58" s="269"/>
      <c r="F58" s="293"/>
      <c r="G58" s="294" t="s">
        <v>31</v>
      </c>
      <c r="H58" s="1"/>
    </row>
    <row r="59" spans="3:10" x14ac:dyDescent="0.25">
      <c r="C59" s="8" t="s">
        <v>72</v>
      </c>
      <c r="D59" s="9"/>
      <c r="E59" s="9"/>
      <c r="F59" s="9"/>
      <c r="G59" s="52">
        <v>525.6</v>
      </c>
      <c r="H59" s="1"/>
    </row>
    <row r="60" spans="3:10" x14ac:dyDescent="0.25">
      <c r="C60" s="11" t="s">
        <v>71</v>
      </c>
      <c r="D60" s="1"/>
      <c r="E60" s="1"/>
      <c r="F60" s="1"/>
      <c r="G60" s="53">
        <f>(G42+G43+H42+H43+I42+I43)/12</f>
        <v>1.3333333333333333</v>
      </c>
      <c r="H60" s="1"/>
    </row>
    <row r="61" spans="3:10" x14ac:dyDescent="0.25">
      <c r="C61" s="11" t="s">
        <v>34</v>
      </c>
      <c r="D61" s="1"/>
      <c r="E61" s="1"/>
      <c r="F61" s="1"/>
      <c r="G61" s="53">
        <f>(G42+G43+H42+H43+I42+I43)</f>
        <v>16</v>
      </c>
      <c r="H61" s="1"/>
    </row>
    <row r="62" spans="3:10" x14ac:dyDescent="0.25">
      <c r="C62" s="11" t="s">
        <v>35</v>
      </c>
      <c r="D62" s="1"/>
      <c r="E62" s="1"/>
      <c r="F62" s="1"/>
      <c r="G62" s="57">
        <v>59.9</v>
      </c>
      <c r="H62" s="1"/>
    </row>
    <row r="63" spans="3:10" x14ac:dyDescent="0.25">
      <c r="C63" s="55" t="s">
        <v>73</v>
      </c>
      <c r="D63" s="43"/>
      <c r="E63" s="43"/>
      <c r="F63" s="43"/>
      <c r="G63" s="56">
        <f>G62*G61+G60*G59</f>
        <v>1659.1999999999998</v>
      </c>
      <c r="H63" s="1"/>
    </row>
    <row r="64" spans="3:10" x14ac:dyDescent="0.25">
      <c r="C64" s="55" t="s">
        <v>74</v>
      </c>
      <c r="D64" s="43"/>
      <c r="E64" s="43"/>
      <c r="F64" s="43"/>
      <c r="G64" s="59">
        <v>5</v>
      </c>
    </row>
    <row r="65" spans="3:7" x14ac:dyDescent="0.25">
      <c r="C65" s="54" t="s">
        <v>37</v>
      </c>
      <c r="D65" s="42"/>
      <c r="E65" s="42"/>
      <c r="F65" s="42"/>
      <c r="G65" s="58">
        <f>G63/G64</f>
        <v>331.84</v>
      </c>
    </row>
    <row r="67" spans="3:7" x14ac:dyDescent="0.25">
      <c r="C67" s="494" t="s">
        <v>67</v>
      </c>
      <c r="D67" s="495"/>
      <c r="E67" s="495"/>
      <c r="F67" s="496"/>
    </row>
    <row r="68" spans="3:7" x14ac:dyDescent="0.25">
      <c r="C68" s="301" t="s">
        <v>16</v>
      </c>
      <c r="D68" s="295">
        <v>12.1</v>
      </c>
      <c r="E68" s="3" t="s">
        <v>17</v>
      </c>
      <c r="F68" s="230" t="s">
        <v>238</v>
      </c>
    </row>
    <row r="69" spans="3:7" x14ac:dyDescent="0.25">
      <c r="C69" s="129"/>
      <c r="D69" s="296">
        <f>D68*(G49+H49+I49)/60</f>
        <v>16.245930555555557</v>
      </c>
      <c r="E69" s="3" t="s">
        <v>19</v>
      </c>
    </row>
    <row r="70" spans="3:7" x14ac:dyDescent="0.25">
      <c r="C70" s="129"/>
      <c r="D70" s="297">
        <f>D69*Contenants!G11</f>
        <v>3249.1861111111111</v>
      </c>
      <c r="E70" s="3" t="s">
        <v>21</v>
      </c>
    </row>
    <row r="71" spans="3:7" x14ac:dyDescent="0.25">
      <c r="C71" s="129"/>
      <c r="D71" s="298">
        <v>0.125</v>
      </c>
      <c r="E71" s="281" t="s">
        <v>18</v>
      </c>
      <c r="F71" s="230" t="s">
        <v>239</v>
      </c>
    </row>
    <row r="72" spans="3:7" x14ac:dyDescent="0.25">
      <c r="C72" s="129"/>
      <c r="D72" s="299">
        <f>D69*D71</f>
        <v>2.0307413194444446</v>
      </c>
      <c r="E72" s="282" t="s">
        <v>20</v>
      </c>
    </row>
    <row r="73" spans="3:7" x14ac:dyDescent="0.25">
      <c r="C73" s="128"/>
      <c r="D73" s="300">
        <f>D70*D71</f>
        <v>406.14826388888889</v>
      </c>
      <c r="E73" s="283" t="s">
        <v>22</v>
      </c>
    </row>
    <row r="74" spans="3:7" x14ac:dyDescent="0.25">
      <c r="C74" s="301" t="s">
        <v>23</v>
      </c>
      <c r="D74" s="284">
        <v>4</v>
      </c>
      <c r="E74" s="285" t="s">
        <v>24</v>
      </c>
      <c r="F74" s="230" t="s">
        <v>241</v>
      </c>
    </row>
    <row r="75" spans="3:7" x14ac:dyDescent="0.25">
      <c r="C75" s="129"/>
      <c r="D75" s="290">
        <f>D74*(SUM(G42:G44)+SUM(H42:H44)+SUM(I42:I44))</f>
        <v>92</v>
      </c>
      <c r="E75" s="286" t="s">
        <v>26</v>
      </c>
    </row>
    <row r="76" spans="3:7" x14ac:dyDescent="0.25">
      <c r="C76" s="129"/>
      <c r="D76" s="291">
        <f>D75*Contenants!G11</f>
        <v>18400</v>
      </c>
      <c r="E76" s="286" t="s">
        <v>28</v>
      </c>
    </row>
    <row r="77" spans="3:7" x14ac:dyDescent="0.25">
      <c r="C77" s="129"/>
      <c r="D77" s="287">
        <v>3.48</v>
      </c>
      <c r="E77" s="288" t="s">
        <v>25</v>
      </c>
      <c r="F77" s="230" t="s">
        <v>240</v>
      </c>
    </row>
    <row r="78" spans="3:7" x14ac:dyDescent="0.25">
      <c r="C78" s="129"/>
      <c r="D78" s="292">
        <f>D75*D77/1000</f>
        <v>0.32016</v>
      </c>
      <c r="E78" s="288" t="s">
        <v>27</v>
      </c>
    </row>
    <row r="79" spans="3:7" x14ac:dyDescent="0.25">
      <c r="C79" s="128"/>
      <c r="D79" s="289">
        <f>D76*D77/1000</f>
        <v>64.031999999999996</v>
      </c>
      <c r="E79" s="283" t="s">
        <v>29</v>
      </c>
    </row>
    <row r="80" spans="3:7" x14ac:dyDescent="0.25">
      <c r="C80" s="301" t="s">
        <v>30</v>
      </c>
      <c r="D80" s="302" t="s">
        <v>243</v>
      </c>
      <c r="E80" s="17" t="s">
        <v>31</v>
      </c>
    </row>
    <row r="81" spans="3:18" x14ac:dyDescent="0.25">
      <c r="C81" s="129"/>
      <c r="D81" s="34">
        <v>3</v>
      </c>
      <c r="E81" s="29" t="s">
        <v>242</v>
      </c>
    </row>
    <row r="82" spans="3:18" x14ac:dyDescent="0.25">
      <c r="C82" s="129"/>
      <c r="D82" s="303">
        <v>5.9</v>
      </c>
      <c r="E82" s="29" t="s">
        <v>244</v>
      </c>
      <c r="F82" s="1"/>
      <c r="H82" s="1"/>
    </row>
    <row r="83" spans="3:18" x14ac:dyDescent="0.25">
      <c r="C83" s="129"/>
      <c r="D83" s="304">
        <f>D81*D76/1000*D82</f>
        <v>325.68000000000006</v>
      </c>
      <c r="E83" s="15" t="s">
        <v>32</v>
      </c>
      <c r="F83" s="1"/>
      <c r="I83" s="50"/>
      <c r="K83" s="50"/>
      <c r="L83" s="51"/>
      <c r="N83" s="49"/>
      <c r="O83" s="49"/>
      <c r="P83" s="50"/>
      <c r="Q83" s="51"/>
    </row>
    <row r="84" spans="3:18" x14ac:dyDescent="0.25">
      <c r="C84" s="129"/>
      <c r="D84" s="302" t="s">
        <v>33</v>
      </c>
      <c r="E84" s="17" t="s">
        <v>31</v>
      </c>
      <c r="F84" s="1"/>
      <c r="I84" s="1"/>
      <c r="J84" s="50"/>
      <c r="L84" s="50"/>
      <c r="M84" s="51"/>
      <c r="O84" s="49"/>
      <c r="P84" s="49"/>
      <c r="Q84" s="50"/>
      <c r="R84" s="51"/>
    </row>
    <row r="85" spans="3:18" x14ac:dyDescent="0.25">
      <c r="C85" s="129"/>
      <c r="D85" s="34">
        <v>0.4</v>
      </c>
      <c r="E85" s="29" t="s">
        <v>242</v>
      </c>
      <c r="F85" s="1"/>
      <c r="I85" s="1"/>
      <c r="J85" s="50"/>
      <c r="L85" s="50"/>
      <c r="M85" s="51"/>
      <c r="O85" s="49"/>
      <c r="P85" s="49"/>
      <c r="Q85" s="50"/>
      <c r="R85" s="51"/>
    </row>
    <row r="86" spans="3:18" x14ac:dyDescent="0.25">
      <c r="C86" s="129"/>
      <c r="D86" s="303">
        <f>44/5</f>
        <v>8.8000000000000007</v>
      </c>
      <c r="E86" s="29" t="s">
        <v>244</v>
      </c>
      <c r="F86" s="1"/>
      <c r="I86" s="1"/>
      <c r="J86" s="50"/>
      <c r="L86" s="50"/>
      <c r="M86" s="51"/>
      <c r="O86" s="49"/>
      <c r="P86" s="49"/>
      <c r="Q86" s="50"/>
      <c r="R86" s="51"/>
    </row>
    <row r="87" spans="3:18" x14ac:dyDescent="0.25">
      <c r="C87" s="129"/>
      <c r="D87" s="304">
        <f>D85*D76/1000*D86</f>
        <v>64.768000000000015</v>
      </c>
      <c r="E87" s="15" t="s">
        <v>186</v>
      </c>
      <c r="I87" s="1"/>
      <c r="J87" s="50"/>
      <c r="L87" s="50"/>
      <c r="M87" s="51"/>
      <c r="O87" s="49"/>
      <c r="P87" s="49"/>
      <c r="Q87" s="50"/>
      <c r="R87" s="51"/>
    </row>
    <row r="88" spans="3:18" x14ac:dyDescent="0.25">
      <c r="C88" s="128"/>
      <c r="D88" s="305">
        <f>D83+D87</f>
        <v>390.44800000000009</v>
      </c>
      <c r="E88" s="16" t="s">
        <v>36</v>
      </c>
      <c r="I88" s="1"/>
      <c r="J88" s="50"/>
      <c r="L88" s="50"/>
      <c r="M88" s="51"/>
      <c r="O88" s="49"/>
      <c r="P88" s="49"/>
      <c r="Q88" s="50"/>
      <c r="R88" s="51"/>
    </row>
    <row r="89" spans="3:18" x14ac:dyDescent="0.25">
      <c r="I89" s="1"/>
      <c r="J89" s="50"/>
      <c r="L89" s="50"/>
      <c r="M89" s="51"/>
      <c r="O89" s="49"/>
      <c r="P89" s="49"/>
      <c r="Q89" s="50"/>
      <c r="R89" s="51"/>
    </row>
    <row r="90" spans="3:18" x14ac:dyDescent="0.25">
      <c r="C90" s="268" t="s">
        <v>245</v>
      </c>
      <c r="D90" s="269"/>
      <c r="E90" s="269"/>
      <c r="F90" s="269"/>
      <c r="G90" s="293"/>
      <c r="H90" s="1"/>
    </row>
    <row r="91" spans="3:18" x14ac:dyDescent="0.25">
      <c r="C91" s="198" t="s">
        <v>69</v>
      </c>
      <c r="D91" s="199"/>
      <c r="E91" s="199"/>
      <c r="F91" s="199"/>
      <c r="G91" s="306">
        <f>G35</f>
        <v>2000</v>
      </c>
      <c r="H91" s="1"/>
    </row>
    <row r="92" spans="3:18" x14ac:dyDescent="0.25">
      <c r="C92" s="201" t="s">
        <v>249</v>
      </c>
      <c r="D92" s="1"/>
      <c r="E92" s="1"/>
      <c r="F92" s="1"/>
      <c r="G92" s="307">
        <f>G56</f>
        <v>4488.5555555555557</v>
      </c>
      <c r="H92" s="1"/>
    </row>
    <row r="93" spans="3:18" x14ac:dyDescent="0.25">
      <c r="C93" s="201" t="s">
        <v>248</v>
      </c>
      <c r="D93" s="1"/>
      <c r="E93" s="1"/>
      <c r="F93" s="1"/>
      <c r="G93" s="307">
        <f>D73+D79+D88</f>
        <v>860.62826388888902</v>
      </c>
      <c r="H93" s="1"/>
    </row>
    <row r="94" spans="3:18" x14ac:dyDescent="0.25">
      <c r="C94" s="309" t="s">
        <v>247</v>
      </c>
      <c r="D94" s="310"/>
      <c r="E94" s="310"/>
      <c r="F94" s="310"/>
      <c r="G94" s="311">
        <f>SUM(G91:G93)</f>
        <v>7349.1838194444445</v>
      </c>
    </row>
    <row r="95" spans="3:18" x14ac:dyDescent="0.25">
      <c r="C95" s="221" t="s">
        <v>68</v>
      </c>
      <c r="D95" s="203"/>
      <c r="E95" s="203"/>
      <c r="F95" s="203"/>
      <c r="G95" s="308">
        <f>G94/((J38)*Contenants!G11)</f>
        <v>0.39195647037037035</v>
      </c>
      <c r="H95" s="1"/>
    </row>
    <row r="96" spans="3:18" x14ac:dyDescent="0.25">
      <c r="H96" s="1"/>
    </row>
    <row r="97" spans="3:12" x14ac:dyDescent="0.25">
      <c r="D97" s="1"/>
      <c r="E97" s="1"/>
      <c r="F97" s="1"/>
      <c r="H97" s="1"/>
    </row>
    <row r="99" spans="3:12" ht="18.75" x14ac:dyDescent="0.25">
      <c r="C99" s="67" t="s">
        <v>250</v>
      </c>
      <c r="D99" s="68"/>
      <c r="E99" s="68"/>
      <c r="F99" s="68"/>
      <c r="G99" s="68"/>
      <c r="H99" s="68"/>
      <c r="I99" s="69"/>
      <c r="J99" s="70"/>
      <c r="K99" s="70"/>
      <c r="L99" s="71"/>
    </row>
    <row r="100" spans="3:12" x14ac:dyDescent="0.25">
      <c r="C100" s="1"/>
      <c r="D100" s="1"/>
      <c r="E100" s="1"/>
      <c r="F100" s="1"/>
      <c r="G100" s="1"/>
    </row>
    <row r="101" spans="3:12" ht="30" x14ac:dyDescent="0.25">
      <c r="C101" s="268" t="s">
        <v>252</v>
      </c>
      <c r="D101" s="269"/>
      <c r="E101" s="269"/>
      <c r="F101" s="269"/>
      <c r="G101" s="312" t="s">
        <v>85</v>
      </c>
      <c r="H101" s="115" t="s">
        <v>86</v>
      </c>
      <c r="I101" s="115" t="s">
        <v>87</v>
      </c>
      <c r="J101" s="252" t="s">
        <v>0</v>
      </c>
      <c r="K101" s="39" t="s">
        <v>76</v>
      </c>
    </row>
    <row r="102" spans="3:12" x14ac:dyDescent="0.25">
      <c r="C102" s="236" t="s">
        <v>75</v>
      </c>
      <c r="D102" s="237"/>
      <c r="E102" s="95"/>
      <c r="F102" s="313"/>
      <c r="G102" s="314">
        <v>0.25</v>
      </c>
      <c r="H102" s="314">
        <v>0.3</v>
      </c>
      <c r="I102" s="314">
        <v>0.25</v>
      </c>
      <c r="J102" s="314"/>
      <c r="K102" s="230" t="s">
        <v>251</v>
      </c>
    </row>
    <row r="103" spans="3:12" x14ac:dyDescent="0.25">
      <c r="C103" s="94" t="s">
        <v>253</v>
      </c>
      <c r="D103" s="95"/>
      <c r="E103" s="95"/>
      <c r="F103" s="96"/>
      <c r="G103" s="315">
        <f>G38*Contenants!$G$11</f>
        <v>4500</v>
      </c>
      <c r="H103" s="315">
        <f>H38*Contenants!$G$11</f>
        <v>9500</v>
      </c>
      <c r="I103" s="315">
        <f>I38*Contenants!$G$11</f>
        <v>4750</v>
      </c>
      <c r="J103" s="315">
        <f>SUM(G103:I103)</f>
        <v>18750</v>
      </c>
    </row>
    <row r="104" spans="3:12" x14ac:dyDescent="0.25">
      <c r="C104" s="94" t="s">
        <v>247</v>
      </c>
      <c r="D104" s="95"/>
      <c r="E104" s="95"/>
      <c r="F104" s="96"/>
      <c r="G104" s="316">
        <f>G103*G102</f>
        <v>1125</v>
      </c>
      <c r="H104" s="316">
        <f>H103*H102</f>
        <v>2850</v>
      </c>
      <c r="I104" s="316">
        <f>I103*I102</f>
        <v>1187.5</v>
      </c>
      <c r="J104" s="317">
        <f>SUM(G104:I104)</f>
        <v>5162.5</v>
      </c>
    </row>
  </sheetData>
  <mergeCells count="2">
    <mergeCell ref="C37:F37"/>
    <mergeCell ref="C67:F67"/>
  </mergeCells>
  <hyperlinks>
    <hyperlink ref="C15" r:id="rId1" display="Référence lave-vaisselle"/>
    <hyperlink ref="G58" r:id="rId2"/>
    <hyperlink ref="E80" r:id="rId3"/>
    <hyperlink ref="E84" r:id="rId4"/>
  </hyperlinks>
  <pageMargins left="0.7" right="0.7" top="0.75" bottom="0.75" header="0.3" footer="0.3"/>
  <pageSetup paperSize="9" scale="66" orientation="portrait" horizontalDpi="4294967293" r:id="rId5"/>
  <rowBreaks count="1" manualBreakCount="1">
    <brk id="66" min="1" max="12" man="1"/>
  </row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C3:K43"/>
  <sheetViews>
    <sheetView showGridLines="0" tabSelected="1" view="pageBreakPreview" topLeftCell="A31" zoomScaleNormal="100" zoomScaleSheetLayoutView="100" workbookViewId="0">
      <selection activeCell="I42" sqref="I42"/>
    </sheetView>
  </sheetViews>
  <sheetFormatPr baseColWidth="10" defaultRowHeight="15" x14ac:dyDescent="0.25"/>
  <cols>
    <col min="1" max="1" width="4.140625" customWidth="1"/>
    <col min="2" max="2" width="4.28515625" customWidth="1"/>
    <col min="6" max="6" width="16.42578125" customWidth="1"/>
    <col min="7" max="7" width="13.28515625" customWidth="1"/>
    <col min="9" max="9" width="14.28515625" customWidth="1"/>
    <col min="11" max="11" width="4.7109375" customWidth="1"/>
    <col min="12" max="12" width="12.7109375" bestFit="1" customWidth="1"/>
  </cols>
  <sheetData>
    <row r="3" spans="3:10" ht="14.65" customHeight="1" x14ac:dyDescent="0.25">
      <c r="C3" s="67" t="s">
        <v>259</v>
      </c>
      <c r="D3" s="68"/>
      <c r="E3" s="68"/>
      <c r="F3" s="68"/>
      <c r="G3" s="68"/>
      <c r="H3" s="68"/>
      <c r="I3" s="69"/>
      <c r="J3" s="70"/>
    </row>
    <row r="4" spans="3:10" ht="14.65" customHeight="1" x14ac:dyDescent="0.25"/>
    <row r="5" spans="3:10" ht="14.65" customHeight="1" x14ac:dyDescent="0.25">
      <c r="C5" s="318" t="s">
        <v>292</v>
      </c>
      <c r="D5" s="319"/>
      <c r="E5" s="269"/>
      <c r="F5" s="269"/>
      <c r="G5" s="269"/>
      <c r="H5" s="293"/>
      <c r="I5" s="334" t="s">
        <v>263</v>
      </c>
      <c r="J5" s="335" t="s">
        <v>264</v>
      </c>
    </row>
    <row r="6" spans="3:10" ht="14.65" customHeight="1" x14ac:dyDescent="0.25">
      <c r="C6" s="466" t="s">
        <v>295</v>
      </c>
      <c r="D6" s="467"/>
      <c r="E6" s="467"/>
      <c r="F6" s="467"/>
      <c r="G6" s="467"/>
      <c r="H6" s="468"/>
      <c r="I6" s="356">
        <f>Contenants!J25</f>
        <v>8000</v>
      </c>
      <c r="J6" s="357">
        <f>I6/Contenants!J19</f>
        <v>0.4</v>
      </c>
    </row>
    <row r="7" spans="3:10" ht="28.9" customHeight="1" x14ac:dyDescent="0.25">
      <c r="C7" s="1"/>
      <c r="D7" s="1"/>
      <c r="E7" s="1"/>
      <c r="F7" s="1"/>
      <c r="G7" s="1"/>
    </row>
    <row r="8" spans="3:10" ht="27.75" x14ac:dyDescent="0.25">
      <c r="C8" s="318" t="s">
        <v>274</v>
      </c>
      <c r="D8" s="319"/>
      <c r="E8" s="269"/>
      <c r="F8" s="269"/>
      <c r="G8" s="334" t="s">
        <v>261</v>
      </c>
      <c r="H8" s="327" t="s">
        <v>262</v>
      </c>
      <c r="I8" s="336" t="s">
        <v>273</v>
      </c>
      <c r="J8" s="457" t="s">
        <v>262</v>
      </c>
    </row>
    <row r="9" spans="3:10" x14ac:dyDescent="0.25">
      <c r="C9" s="198" t="s">
        <v>260</v>
      </c>
      <c r="D9" s="199"/>
      <c r="E9" s="76"/>
      <c r="F9" s="320"/>
      <c r="G9" s="322">
        <f>Contenants!J61</f>
        <v>9402.5</v>
      </c>
      <c r="H9" s="325">
        <f>G9/SUM(Contenants!$G$30:$I$30)</f>
        <v>0.47012500000000002</v>
      </c>
      <c r="I9" s="322">
        <f>Contenants!J67</f>
        <v>6975</v>
      </c>
      <c r="J9" s="461">
        <f>I9/SUM(Contenants!$G$30:$I$30)</f>
        <v>0.34875</v>
      </c>
    </row>
    <row r="10" spans="3:10" x14ac:dyDescent="0.25">
      <c r="C10" s="201" t="s">
        <v>77</v>
      </c>
      <c r="D10" s="1"/>
      <c r="F10" s="321"/>
      <c r="G10" s="323">
        <f>Contenants!J62</f>
        <v>-3000</v>
      </c>
      <c r="H10" s="326">
        <f>G10/SUM(Contenants!$G$30:$I$30)</f>
        <v>-0.15</v>
      </c>
      <c r="I10" s="323">
        <f>Contenants!J68</f>
        <v>-3000</v>
      </c>
      <c r="J10" s="462">
        <f>I10/SUM(Contenants!$G$30:$I$30)</f>
        <v>-0.15</v>
      </c>
    </row>
    <row r="11" spans="3:10" x14ac:dyDescent="0.25">
      <c r="C11" s="324" t="s">
        <v>293</v>
      </c>
      <c r="D11" s="123"/>
      <c r="E11" s="123"/>
      <c r="F11" s="123"/>
      <c r="G11" s="356">
        <f>SUM(G9:G10)</f>
        <v>6402.5</v>
      </c>
      <c r="H11" s="458">
        <f>G11/SUM(Contenants!$G$30:$I$30)</f>
        <v>0.32012499999999999</v>
      </c>
      <c r="I11" s="459">
        <f>SUM(I9:I10)</f>
        <v>3975</v>
      </c>
      <c r="J11" s="463">
        <f>I11/SUM(Contenants!$G$30:$I$30)</f>
        <v>0.19875000000000001</v>
      </c>
    </row>
    <row r="12" spans="3:10" ht="25.9" customHeight="1" x14ac:dyDescent="0.25">
      <c r="C12" s="1"/>
      <c r="D12" s="1"/>
      <c r="E12" s="1"/>
      <c r="F12" s="1"/>
      <c r="G12" s="1"/>
    </row>
    <row r="13" spans="3:10" ht="27.75" x14ac:dyDescent="0.25">
      <c r="C13" s="318" t="s">
        <v>321</v>
      </c>
      <c r="D13" s="319"/>
      <c r="E13" s="269"/>
      <c r="F13" s="269"/>
      <c r="G13" s="334" t="s">
        <v>261</v>
      </c>
      <c r="H13" s="327" t="s">
        <v>262</v>
      </c>
      <c r="I13" s="336" t="s">
        <v>273</v>
      </c>
      <c r="J13" s="457" t="s">
        <v>262</v>
      </c>
    </row>
    <row r="14" spans="3:10" x14ac:dyDescent="0.25">
      <c r="C14" s="8" t="str">
        <f>'Caisses et meubles'!C68</f>
        <v>Cout des caisses</v>
      </c>
      <c r="D14" s="9"/>
      <c r="E14" s="27"/>
      <c r="F14" s="441"/>
      <c r="G14" s="322">
        <f>'Caisses et meubles'!G68</f>
        <v>420</v>
      </c>
      <c r="H14" s="446">
        <f>G14/Contenants!$J$14</f>
        <v>2.1000000000000001E-2</v>
      </c>
      <c r="I14" s="322">
        <f>'Caisses et meubles'!H68</f>
        <v>0</v>
      </c>
      <c r="J14" s="460">
        <f>I14/Contenants!$J$14</f>
        <v>0</v>
      </c>
    </row>
    <row r="15" spans="3:10" x14ac:dyDescent="0.25">
      <c r="C15" s="13" t="str">
        <f>'Caisses et meubles'!C69</f>
        <v>Cout du/des meuble(s)</v>
      </c>
      <c r="D15" s="14"/>
      <c r="E15" s="31"/>
      <c r="F15" s="442"/>
      <c r="G15" s="332">
        <f>'Caisses et meubles'!G69</f>
        <v>1666.6666666666665</v>
      </c>
      <c r="H15" s="333">
        <f>G15/Contenants!$J$14</f>
        <v>8.3333333333333329E-2</v>
      </c>
      <c r="I15" s="332">
        <f>'Caisses et meubles'!H69</f>
        <v>666.66666666666663</v>
      </c>
      <c r="J15" s="456">
        <f>I15/Contenants!$J$14</f>
        <v>3.3333333333333333E-2</v>
      </c>
    </row>
    <row r="16" spans="3:10" ht="25.9" customHeight="1" x14ac:dyDescent="0.25">
      <c r="C16" s="1"/>
      <c r="D16" s="1"/>
      <c r="E16" s="1"/>
      <c r="F16" s="1"/>
      <c r="G16" s="1"/>
    </row>
    <row r="17" spans="3:10" x14ac:dyDescent="0.25">
      <c r="C17" s="318" t="s">
        <v>344</v>
      </c>
      <c r="D17" s="319"/>
      <c r="E17" s="269"/>
      <c r="F17" s="269"/>
      <c r="G17" s="269"/>
      <c r="H17" s="293"/>
      <c r="I17" s="447" t="s">
        <v>263</v>
      </c>
      <c r="J17" s="457" t="s">
        <v>262</v>
      </c>
    </row>
    <row r="18" spans="3:10" x14ac:dyDescent="0.25">
      <c r="C18" s="2" t="str">
        <f>'Gestion traça'!C22</f>
        <v>Coût total annuel pour la traçabilité</v>
      </c>
      <c r="D18" s="4"/>
      <c r="E18" s="343"/>
      <c r="F18" s="464"/>
      <c r="G18" s="464"/>
      <c r="H18" s="465"/>
      <c r="I18" s="469">
        <f>'Gestion traça'!H22</f>
        <v>5562.5</v>
      </c>
      <c r="J18" s="470">
        <f>I18/Contenants!$J$14</f>
        <v>0.27812500000000001</v>
      </c>
    </row>
    <row r="19" spans="3:10" ht="22.9" customHeight="1" x14ac:dyDescent="0.25"/>
    <row r="20" spans="3:10" x14ac:dyDescent="0.25">
      <c r="C20" s="318" t="s">
        <v>294</v>
      </c>
      <c r="D20" s="319"/>
      <c r="E20" s="269"/>
      <c r="F20" s="269"/>
      <c r="G20" s="269"/>
      <c r="H20" s="293"/>
      <c r="I20" s="447" t="s">
        <v>263</v>
      </c>
      <c r="J20" s="457" t="s">
        <v>264</v>
      </c>
    </row>
    <row r="21" spans="3:10" x14ac:dyDescent="0.25">
      <c r="C21" s="452" t="s">
        <v>265</v>
      </c>
      <c r="D21" s="329"/>
      <c r="E21" s="330"/>
      <c r="F21" s="330"/>
      <c r="G21" s="330"/>
      <c r="H21" s="453"/>
      <c r="I21" s="448">
        <f>SUM(I22:I24)</f>
        <v>6462</v>
      </c>
      <c r="J21" s="454">
        <f>I21/SUM(Contenants!$G$30:$I$30)</f>
        <v>0.3231</v>
      </c>
    </row>
    <row r="22" spans="3:10" x14ac:dyDescent="0.25">
      <c r="C22" s="28" t="str">
        <f>Collecte!C19</f>
        <v>Chauffeur</v>
      </c>
      <c r="H22" s="29"/>
      <c r="I22" s="449">
        <f>Collecte!G24*Collecte!$G$37</f>
        <v>4350</v>
      </c>
      <c r="J22" s="455">
        <f>I22/SUM(Contenants!$G$30:$I$30)</f>
        <v>0.2175</v>
      </c>
    </row>
    <row r="23" spans="3:10" x14ac:dyDescent="0.25">
      <c r="C23" s="28" t="str">
        <f>Collecte!C25</f>
        <v>Véhicule</v>
      </c>
      <c r="H23" s="29"/>
      <c r="I23" s="449">
        <f>Collecte!G30*Collecte!$G$37</f>
        <v>312</v>
      </c>
      <c r="J23" s="455">
        <f>I23/SUM(Contenants!$G$30:$I$30)</f>
        <v>1.5599999999999999E-2</v>
      </c>
    </row>
    <row r="24" spans="3:10" x14ac:dyDescent="0.25">
      <c r="C24" s="28" t="str">
        <f>Collecte!C31</f>
        <v>Carburant</v>
      </c>
      <c r="H24" s="29"/>
      <c r="I24" s="450">
        <f>Collecte!G34*Collecte!G37</f>
        <v>1800</v>
      </c>
      <c r="J24" s="455">
        <f>I24/SUM(Contenants!$G$30:$I$30)</f>
        <v>0.09</v>
      </c>
    </row>
    <row r="25" spans="3:10" x14ac:dyDescent="0.25">
      <c r="C25" s="452" t="s">
        <v>266</v>
      </c>
      <c r="D25" s="329"/>
      <c r="E25" s="330"/>
      <c r="F25" s="330"/>
      <c r="G25" s="330"/>
      <c r="H25" s="453"/>
      <c r="I25" s="448">
        <f>SUM(I26:I26)</f>
        <v>12000</v>
      </c>
      <c r="J25" s="454">
        <f>I25/SUM(Contenants!$G$30:$I$30)</f>
        <v>0.6</v>
      </c>
    </row>
    <row r="26" spans="3:10" x14ac:dyDescent="0.25">
      <c r="C26" s="30" t="s">
        <v>267</v>
      </c>
      <c r="D26" s="31"/>
      <c r="E26" s="31"/>
      <c r="F26" s="31"/>
      <c r="G26" s="31"/>
      <c r="H26" s="32"/>
      <c r="I26" s="451">
        <f>Collecte!G48</f>
        <v>12000</v>
      </c>
      <c r="J26" s="456">
        <f>I26/SUM(Contenants!$G$30:$I$30)</f>
        <v>0.6</v>
      </c>
    </row>
    <row r="27" spans="3:10" x14ac:dyDescent="0.25">
      <c r="H27" s="179"/>
    </row>
    <row r="28" spans="3:10" x14ac:dyDescent="0.25">
      <c r="C28" s="318" t="s">
        <v>268</v>
      </c>
      <c r="D28" s="319"/>
      <c r="E28" s="269"/>
      <c r="F28" s="269"/>
      <c r="G28" s="269"/>
      <c r="H28" s="293"/>
      <c r="I28" s="334" t="s">
        <v>263</v>
      </c>
      <c r="J28" s="457" t="s">
        <v>264</v>
      </c>
    </row>
    <row r="29" spans="3:10" x14ac:dyDescent="0.25">
      <c r="C29" s="328" t="s">
        <v>269</v>
      </c>
      <c r="D29" s="329"/>
      <c r="E29" s="330"/>
      <c r="F29" s="330"/>
      <c r="G29" s="330"/>
      <c r="H29" s="453"/>
      <c r="I29" s="331">
        <f>SUM(I30:I32)</f>
        <v>7349.1838194444445</v>
      </c>
      <c r="J29" s="454">
        <f>I29/SUM(Contenants!$G$30:$I$30)</f>
        <v>0.36745919097222224</v>
      </c>
    </row>
    <row r="30" spans="3:10" x14ac:dyDescent="0.25">
      <c r="C30" s="91" t="s">
        <v>271</v>
      </c>
      <c r="H30" s="29"/>
      <c r="I30" s="323">
        <f>Lavage!G91</f>
        <v>2000</v>
      </c>
      <c r="J30" s="455">
        <f>I30/SUM(Contenants!$G$30:$I$30)</f>
        <v>0.1</v>
      </c>
    </row>
    <row r="31" spans="3:10" x14ac:dyDescent="0.25">
      <c r="C31" s="91" t="s">
        <v>272</v>
      </c>
      <c r="H31" s="29"/>
      <c r="I31" s="323">
        <f>Lavage!G92</f>
        <v>4488.5555555555557</v>
      </c>
      <c r="J31" s="455">
        <f>I31/SUM(Contenants!$G$30:$I$30)</f>
        <v>0.22442777777777778</v>
      </c>
    </row>
    <row r="32" spans="3:10" x14ac:dyDescent="0.25">
      <c r="C32" s="91" t="s">
        <v>246</v>
      </c>
      <c r="H32" s="29"/>
      <c r="I32" s="323">
        <f>Lavage!G93</f>
        <v>860.62826388888902</v>
      </c>
      <c r="J32" s="455">
        <f>I32/SUM(Contenants!$G$30:$I$30)</f>
        <v>4.3031413194444451E-2</v>
      </c>
    </row>
    <row r="33" spans="3:11" x14ac:dyDescent="0.25">
      <c r="C33" s="328" t="s">
        <v>270</v>
      </c>
      <c r="D33" s="329"/>
      <c r="E33" s="330"/>
      <c r="F33" s="330"/>
      <c r="G33" s="330"/>
      <c r="H33" s="453"/>
      <c r="I33" s="331">
        <f>Lavage!J104</f>
        <v>5162.5</v>
      </c>
      <c r="J33" s="454">
        <f>I33/SUM(Contenants!$G$30:$I$30)</f>
        <v>0.25812499999999999</v>
      </c>
    </row>
    <row r="34" spans="3:11" x14ac:dyDescent="0.25">
      <c r="C34" s="77" t="s">
        <v>267</v>
      </c>
      <c r="D34" s="65"/>
      <c r="E34" s="65"/>
      <c r="F34" s="31"/>
      <c r="G34" s="31"/>
      <c r="H34" s="32"/>
      <c r="I34" s="332">
        <f>Lavage!J104</f>
        <v>5162.5</v>
      </c>
      <c r="J34" s="456">
        <f>I34/SUM(Contenants!$G$30:$I$30)</f>
        <v>0.25812499999999999</v>
      </c>
    </row>
    <row r="37" spans="3:11" ht="15.75" x14ac:dyDescent="0.25">
      <c r="C37" s="67" t="s">
        <v>296</v>
      </c>
      <c r="D37" s="358"/>
      <c r="E37" s="358"/>
      <c r="F37" s="358"/>
      <c r="G37" s="358"/>
      <c r="H37" s="358"/>
      <c r="I37" s="334" t="s">
        <v>263</v>
      </c>
      <c r="J37" s="335" t="s">
        <v>264</v>
      </c>
    </row>
    <row r="38" spans="3:11" x14ac:dyDescent="0.25">
      <c r="C38" s="26" t="s">
        <v>298</v>
      </c>
      <c r="D38" s="27"/>
      <c r="E38" s="27"/>
      <c r="F38" s="27"/>
      <c r="G38" s="27"/>
      <c r="H38" s="64"/>
      <c r="I38" s="359">
        <f>I6</f>
        <v>8000</v>
      </c>
      <c r="J38" s="471">
        <f>J6</f>
        <v>0.4</v>
      </c>
    </row>
    <row r="39" spans="3:11" x14ac:dyDescent="0.25">
      <c r="C39" s="28" t="s">
        <v>297</v>
      </c>
      <c r="H39" s="29"/>
      <c r="I39" s="360">
        <f>I11+I29</f>
        <v>11324.183819444444</v>
      </c>
      <c r="J39" s="472">
        <f>+J11+J29</f>
        <v>0.56620919097222222</v>
      </c>
    </row>
    <row r="40" spans="3:11" x14ac:dyDescent="0.25">
      <c r="C40" s="28" t="s">
        <v>345</v>
      </c>
      <c r="H40" s="29"/>
      <c r="I40" s="360">
        <f>+I11+I25+I33</f>
        <v>21137.5</v>
      </c>
      <c r="J40" s="473">
        <f>+J11+J25+J33</f>
        <v>1.056875</v>
      </c>
    </row>
    <row r="41" spans="3:11" x14ac:dyDescent="0.25">
      <c r="C41" s="28" t="s">
        <v>346</v>
      </c>
      <c r="H41" s="29"/>
      <c r="I41" s="360">
        <f>I40+I18</f>
        <v>26700</v>
      </c>
      <c r="J41" s="472">
        <f>J40+J18</f>
        <v>1.335</v>
      </c>
    </row>
    <row r="42" spans="3:11" x14ac:dyDescent="0.25">
      <c r="C42" s="28" t="s">
        <v>347</v>
      </c>
      <c r="H42" s="29"/>
      <c r="I42" s="360"/>
      <c r="J42" s="472"/>
      <c r="K42" s="230" t="s">
        <v>348</v>
      </c>
    </row>
    <row r="43" spans="3:11" x14ac:dyDescent="0.25">
      <c r="C43" s="30" t="s">
        <v>347</v>
      </c>
      <c r="D43" s="31"/>
      <c r="E43" s="31"/>
      <c r="F43" s="31"/>
      <c r="G43" s="31"/>
      <c r="H43" s="32"/>
      <c r="I43" s="361"/>
      <c r="J43" s="474"/>
      <c r="K43" s="230" t="s">
        <v>348</v>
      </c>
    </row>
  </sheetData>
  <pageMargins left="0.7" right="0.7" top="0.75" bottom="0.75" header="0.3" footer="0.3"/>
  <pageSetup paperSize="9"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e9f82da-4306-4f62-8612-334c92155e7a" xsi:nil="true"/>
    <lcf76f155ced4ddcb4097134ff3c332f xmlns="b62addf9-0015-45b4-8323-3523dbab130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E09AE0703B2384DAB948EE3DA732143" ma:contentTypeVersion="16" ma:contentTypeDescription="Crée un document." ma:contentTypeScope="" ma:versionID="79352ea80c9c3e493154f5271ffa16ff">
  <xsd:schema xmlns:xsd="http://www.w3.org/2001/XMLSchema" xmlns:xs="http://www.w3.org/2001/XMLSchema" xmlns:p="http://schemas.microsoft.com/office/2006/metadata/properties" xmlns:ns2="b62addf9-0015-45b4-8323-3523dbab1304" xmlns:ns3="fe9f82da-4306-4f62-8612-334c92155e7a" targetNamespace="http://schemas.microsoft.com/office/2006/metadata/properties" ma:root="true" ma:fieldsID="0761d677fcdacd42c8f99d0b8e65dfab" ns2:_="" ns3:_="">
    <xsd:import namespace="b62addf9-0015-45b4-8323-3523dbab1304"/>
    <xsd:import namespace="fe9f82da-4306-4f62-8612-334c92155e7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2addf9-0015-45b4-8323-3523dbab13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1b20d50a-60cc-4e3f-9a60-655745db6b7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e9f82da-4306-4f62-8612-334c92155e7a"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0a80139b-c01d-4eda-9fdb-e92691146f96}" ma:internalName="TaxCatchAll" ma:showField="CatchAllData" ma:web="fe9f82da-4306-4f62-8612-334c92155e7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A6105A-11D6-4DCE-8DF1-E2B896FEC617}">
  <ds:schemaRef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purl.org/dc/terms/"/>
    <ds:schemaRef ds:uri="b62addf9-0015-45b4-8323-3523dbab1304"/>
    <ds:schemaRef ds:uri="http://schemas.microsoft.com/office/2006/documentManagement/types"/>
    <ds:schemaRef ds:uri="fe9f82da-4306-4f62-8612-334c92155e7a"/>
    <ds:schemaRef ds:uri="http://www.w3.org/XML/1998/namespace"/>
    <ds:schemaRef ds:uri="http://purl.org/dc/dcmitype/"/>
  </ds:schemaRefs>
</ds:datastoreItem>
</file>

<file path=customXml/itemProps2.xml><?xml version="1.0" encoding="utf-8"?>
<ds:datastoreItem xmlns:ds="http://schemas.openxmlformats.org/officeDocument/2006/customXml" ds:itemID="{4FF6EB2C-C658-4C89-9D7A-AFF7A8ADCF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2addf9-0015-45b4-8323-3523dbab1304"/>
    <ds:schemaRef ds:uri="fe9f82da-4306-4f62-8612-334c92155e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1859DE-1851-4169-A5D2-08F9625CC8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7</vt:i4>
      </vt:variant>
    </vt:vector>
  </HeadingPairs>
  <TitlesOfParts>
    <vt:vector size="14" baseType="lpstr">
      <vt:lpstr>Mode d'emploi</vt:lpstr>
      <vt:lpstr>Contenants</vt:lpstr>
      <vt:lpstr>Caisses et meubles</vt:lpstr>
      <vt:lpstr>Gestion traça</vt:lpstr>
      <vt:lpstr>Collecte</vt:lpstr>
      <vt:lpstr>Lavage</vt:lpstr>
      <vt:lpstr>Synthèse</vt:lpstr>
      <vt:lpstr>'Caisses et meubles'!Zone_d_impression</vt:lpstr>
      <vt:lpstr>Collecte!Zone_d_impression</vt:lpstr>
      <vt:lpstr>Contenants!Zone_d_impression</vt:lpstr>
      <vt:lpstr>'Gestion traça'!Zone_d_impression</vt:lpstr>
      <vt:lpstr>Lavage!Zone_d_impression</vt:lpstr>
      <vt:lpstr>'Mode d''emploi'!Zone_d_impression</vt:lpstr>
      <vt:lpstr>Synthèse!Zone_d_impression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Colombe</dc:creator>
  <cp:keywords/>
  <dc:description/>
  <cp:lastModifiedBy>Beguin, Zura</cp:lastModifiedBy>
  <cp:revision/>
  <dcterms:created xsi:type="dcterms:W3CDTF">2022-05-20T08:49:04Z</dcterms:created>
  <dcterms:modified xsi:type="dcterms:W3CDTF">2022-11-17T16:33:26Z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0x0101009E09AE0703B2384DAB948EE3DA732143</vt:lpwstr>
  </property>
  <property fmtid="{D5CDD505-2E9C-101B-9397-08002B2CF9AE}" pid="3" name="MediaServiceImageTags">
    <vt:lpwstr/>
  </property>
</Properties>
</file>